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chartsheets/sheet11.xml" ContentType="application/vnd.openxmlformats-officedocument.spreadsheetml.chartsheet+xml"/>
  <Override PartName="/xl/drawings/drawing20.xml" ContentType="application/vnd.openxmlformats-officedocument.drawing+xml"/>
  <Override PartName="/xl/chartsheets/sheet12.xml" ContentType="application/vnd.openxmlformats-officedocument.spreadsheetml.chartsheet+xml"/>
  <Override PartName="/xl/drawings/drawing22.xml" ContentType="application/vnd.openxmlformats-officedocument.drawing+xml"/>
  <Override PartName="/xl/chartsheets/sheet13.xml" ContentType="application/vnd.openxmlformats-officedocument.spreadsheetml.chartsheet+xml"/>
  <Override PartName="/xl/drawings/drawing24.xml" ContentType="application/vnd.openxmlformats-officedocument.drawing+xml"/>
  <Override PartName="/xl/chartsheets/sheet14.xml" ContentType="application/vnd.openxmlformats-officedocument.spreadsheetml.chartsheet+xml"/>
  <Override PartName="/xl/drawings/drawing25.xml" ContentType="application/vnd.openxmlformats-officedocument.drawing+xml"/>
  <Override PartName="/xl/chartsheets/sheet15.xml" ContentType="application/vnd.openxmlformats-officedocument.spreadsheetml.chartsheet+xml"/>
  <Override PartName="/xl/drawings/drawing26.xml" ContentType="application/vnd.openxmlformats-officedocument.drawing+xml"/>
  <Override PartName="/xl/chartsheets/sheet16.xml" ContentType="application/vnd.openxmlformats-officedocument.spreadsheetml.chartsheet+xml"/>
  <Override PartName="/xl/drawings/drawing28.xml" ContentType="application/vnd.openxmlformats-officedocument.drawing+xml"/>
  <Override PartName="/xl/chartsheets/sheet17.xml" ContentType="application/vnd.openxmlformats-officedocument.spreadsheetml.chartsheet+xml"/>
  <Override PartName="/xl/drawings/drawing30.xml" ContentType="application/vnd.openxmlformats-officedocument.drawing+xml"/>
  <Override PartName="/xl/chartsheets/sheet18.xml" ContentType="application/vnd.openxmlformats-officedocument.spreadsheetml.chartsheet+xml"/>
  <Override PartName="/xl/drawings/drawing31.xml" ContentType="application/vnd.openxmlformats-officedocument.drawing+xml"/>
  <Override PartName="/xl/chartsheets/sheet19.xml" ContentType="application/vnd.openxmlformats-officedocument.spreadsheetml.chartsheet+xml"/>
  <Override PartName="/xl/drawings/drawing33.xml" ContentType="application/vnd.openxmlformats-officedocument.drawing+xml"/>
  <Override PartName="/xl/chartsheets/sheet20.xml" ContentType="application/vnd.openxmlformats-officedocument.spreadsheetml.chartsheet+xml"/>
  <Override PartName="/xl/drawings/drawing35.xml" ContentType="application/vnd.openxmlformats-officedocument.drawing+xml"/>
  <Override PartName="/xl/chartsheets/sheet21.xml" ContentType="application/vnd.openxmlformats-officedocument.spreadsheetml.chartsheet+xml"/>
  <Override PartName="/xl/drawings/drawing36.xml" ContentType="application/vnd.openxmlformats-officedocument.drawing+xml"/>
  <Override PartName="/xl/chartsheets/sheet22.xml" ContentType="application/vnd.openxmlformats-officedocument.spreadsheetml.chartsheet+xml"/>
  <Override PartName="/xl/drawings/drawing37.xml" ContentType="application/vnd.openxmlformats-officedocument.drawing+xml"/>
  <Override PartName="/xl/chartsheets/sheet23.xml" ContentType="application/vnd.openxmlformats-officedocument.spreadsheetml.chartsheet+xml"/>
  <Override PartName="/xl/drawings/drawing38.xml" ContentType="application/vnd.openxmlformats-officedocument.drawing+xml"/>
  <Override PartName="/xl/chartsheets/sheet24.xml" ContentType="application/vnd.openxmlformats-officedocument.spreadsheetml.chartsheet+xml"/>
  <Override PartName="/xl/drawings/drawing40.xml" ContentType="application/vnd.openxmlformats-officedocument.drawing+xml"/>
  <Override PartName="/xl/chartsheets/sheet25.xml" ContentType="application/vnd.openxmlformats-officedocument.spreadsheetml.chartsheet+xml"/>
  <Override PartName="/xl/drawings/drawing42.xml" ContentType="application/vnd.openxmlformats-officedocument.drawing+xml"/>
  <Override PartName="/xl/worksheets/sheet14.xml" ContentType="application/vnd.openxmlformats-officedocument.spreadsheetml.worksheet+xml"/>
  <Override PartName="/xl/drawings/drawing43.xml" ContentType="application/vnd.openxmlformats-officedocument.drawing+xml"/>
  <Override PartName="/xl/chartsheets/sheet26.xml" ContentType="application/vnd.openxmlformats-officedocument.spreadsheetml.chartsheet+xml"/>
  <Override PartName="/xl/drawings/drawing44.xml" ContentType="application/vnd.openxmlformats-officedocument.drawing+xml"/>
  <Override PartName="/xl/chartsheets/sheet27.xml" ContentType="application/vnd.openxmlformats-officedocument.spreadsheetml.chartsheet+xml"/>
  <Override PartName="/xl/drawings/drawing4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993" activeTab="7"/>
  </bookViews>
  <sheets>
    <sheet name="Graph1" sheetId="1" r:id="rId1"/>
    <sheet name="Feuil1" sheetId="2" r:id="rId2"/>
    <sheet name="Belgique" sheetId="3" r:id="rId3"/>
    <sheet name="Allemagne" sheetId="4" r:id="rId4"/>
    <sheet name="Danemark" sheetId="5" r:id="rId5"/>
    <sheet name="France" sheetId="6" r:id="rId6"/>
    <sheet name="Italie" sheetId="7" r:id="rId7"/>
    <sheet name="Finlande" sheetId="8" r:id="rId8"/>
    <sheet name="Suède" sheetId="9" r:id="rId9"/>
    <sheet name="UK" sheetId="10" r:id="rId10"/>
    <sheet name="Pays-Bas" sheetId="11" r:id="rId11"/>
    <sheet name="Rep Tcheque" sheetId="12" r:id="rId12"/>
    <sheet name="Pologne" sheetId="13" r:id="rId13"/>
    <sheet name="données" sheetId="14" r:id="rId14"/>
    <sheet name="w wheat" sheetId="15" r:id="rId15"/>
    <sheet name="d wheat" sheetId="16" r:id="rId16"/>
    <sheet name="w barley" sheetId="17" r:id="rId17"/>
    <sheet name="s barley" sheetId="18" r:id="rId18"/>
    <sheet name="tritical" sheetId="19" r:id="rId19"/>
    <sheet name="rye" sheetId="20" r:id="rId20"/>
    <sheet name="sugar beet" sheetId="21" r:id="rId21"/>
    <sheet name="vegetable seed" sheetId="22" r:id="rId22"/>
    <sheet name="cocksfoot" sheetId="23" r:id="rId23"/>
    <sheet name="phleum" sheetId="24" r:id="rId24"/>
    <sheet name="bluegrass" sheetId="25" r:id="rId25"/>
    <sheet name="red fescue " sheetId="26" r:id="rId26"/>
    <sheet name="meadow fescue" sheetId="27" r:id="rId27"/>
    <sheet name="tall fescue" sheetId="28" r:id="rId28"/>
    <sheet name="sheep fescue" sheetId="29" r:id="rId29"/>
    <sheet name="perenial ryegrass" sheetId="30" r:id="rId30"/>
    <sheet name="perenial ryegrass (2)" sheetId="31" r:id="rId31"/>
    <sheet name="hybrid ryegrass" sheetId="32" r:id="rId32"/>
    <sheet name="italian ryegrass" sheetId="33" r:id="rId33"/>
    <sheet name="italian ryegrass (2)" sheetId="34" r:id="rId34"/>
    <sheet name="red clover" sheetId="35" r:id="rId35"/>
    <sheet name="white clover" sheetId="36" r:id="rId36"/>
    <sheet name="alfalfa" sheetId="37" r:id="rId37"/>
    <sheet name="rape" sheetId="38" r:id="rId38"/>
    <sheet name="eu27" sheetId="39" r:id="rId39"/>
    <sheet name="Graph leg EU 27" sheetId="40" r:id="rId40"/>
    <sheet name="Graph gram EU 27" sheetId="41" r:id="rId41"/>
    <sheet name="Poland" sheetId="42" r:id="rId42"/>
    <sheet name="Feuil2" sheetId="43" r:id="rId43"/>
    <sheet name="Feuil3" sheetId="44" r:id="rId44"/>
  </sheets>
  <definedNames>
    <definedName name="_xlnm.Print_Area" localSheetId="3">'Allemagne'!$A$1:$AA$45</definedName>
  </definedNames>
  <calcPr fullCalcOnLoad="1"/>
</workbook>
</file>

<file path=xl/sharedStrings.xml><?xml version="1.0" encoding="utf-8"?>
<sst xmlns="http://schemas.openxmlformats.org/spreadsheetml/2006/main" count="820" uniqueCount="206">
  <si>
    <t>Espèces/Species</t>
  </si>
  <si>
    <t>Orge printemps/summer barley</t>
  </si>
  <si>
    <t>Orge hiver/winter barley</t>
  </si>
  <si>
    <t>Seigle/rye</t>
  </si>
  <si>
    <t>Triticale</t>
  </si>
  <si>
    <t>Blé printemps/summer wheat</t>
  </si>
  <si>
    <t>Blé hiver/winter wheat</t>
  </si>
  <si>
    <t>Maïs</t>
  </si>
  <si>
    <t>Riz/rice</t>
  </si>
  <si>
    <t>Total Céréales/Cereals</t>
  </si>
  <si>
    <t>Dactylis glomerata</t>
  </si>
  <si>
    <t>Phleum</t>
  </si>
  <si>
    <t>Poa pratensis</t>
  </si>
  <si>
    <t>Festuca rubra</t>
  </si>
  <si>
    <t>Festuca ovina</t>
  </si>
  <si>
    <t>Festuca pratensis</t>
  </si>
  <si>
    <t>Festuca arundinacea</t>
  </si>
  <si>
    <t>Lolium perenne</t>
  </si>
  <si>
    <t>Lolium multiflorum</t>
  </si>
  <si>
    <t>Autres graminées/others</t>
  </si>
  <si>
    <t>Total graminées/grass seeds</t>
  </si>
  <si>
    <t>Tréfle violet/red clover</t>
  </si>
  <si>
    <t>Tréfle blanc/white clover</t>
  </si>
  <si>
    <t>Luzerne/alfa alfa</t>
  </si>
  <si>
    <t>Vesces communes/common vetch</t>
  </si>
  <si>
    <t>Féveroles/beans</t>
  </si>
  <si>
    <t>Lupin</t>
  </si>
  <si>
    <t>Pois protéagineux/peas</t>
  </si>
  <si>
    <t>Autres légumineuses/others</t>
  </si>
  <si>
    <t>Total légumineuses/legumes</t>
  </si>
  <si>
    <t>Lin textile</t>
  </si>
  <si>
    <t>Lin oléagineux/oil lin seed</t>
  </si>
  <si>
    <t>Colza/rape</t>
  </si>
  <si>
    <t>Tournesol/sunflower</t>
  </si>
  <si>
    <t>Pommes de terre/patatoe seeds</t>
  </si>
  <si>
    <t>Potagères/vegetable seeds</t>
  </si>
  <si>
    <t>Betteraves/ beet seeds</t>
  </si>
  <si>
    <t>Autres espèces/other species</t>
  </si>
  <si>
    <t>Total général/all species</t>
  </si>
  <si>
    <t xml:space="preserve"> </t>
  </si>
  <si>
    <t>Lolium westerwold</t>
  </si>
  <si>
    <t>SURFACES EN MULTIPLICATION / AREA FOR SEED GROWING - ha</t>
  </si>
  <si>
    <t>Avoine/oats</t>
  </si>
  <si>
    <t>Seigle d'été/summer rye</t>
  </si>
  <si>
    <t>Seigle d'hiver/winter rye</t>
  </si>
  <si>
    <t>Triticale d'été/summer tritical</t>
  </si>
  <si>
    <t>Triticale d'hiver/winter tritical</t>
  </si>
  <si>
    <t>Lolium hybridum</t>
  </si>
  <si>
    <t>Lolium multiflorum - 1</t>
  </si>
  <si>
    <t>Lolium multiflorum - 2</t>
  </si>
  <si>
    <t>Trifolium pratens</t>
  </si>
  <si>
    <t>Trifolium repens</t>
  </si>
  <si>
    <t>Leuminosem</t>
  </si>
  <si>
    <t>Vicia faba</t>
  </si>
  <si>
    <t>Pisum sativum</t>
  </si>
  <si>
    <t>Lupinus spec.</t>
  </si>
  <si>
    <t>Vicia sativa</t>
  </si>
  <si>
    <t>Vicia villosa</t>
  </si>
  <si>
    <t>Linum usitatiss.</t>
  </si>
  <si>
    <t>Pomme de terre/potatoes seeds</t>
  </si>
  <si>
    <t>Total général / all species</t>
  </si>
  <si>
    <t>Blé dur/durum wheat</t>
  </si>
  <si>
    <t>ESGG - France</t>
  </si>
  <si>
    <t>Blé tendre</t>
  </si>
  <si>
    <t xml:space="preserve">   </t>
  </si>
  <si>
    <t>Vesce velue/ vicia villosa</t>
  </si>
  <si>
    <t>Vesce commune/ common vetch</t>
  </si>
  <si>
    <t>Lolium Perenne</t>
  </si>
  <si>
    <t>Lolium Hybridum</t>
  </si>
  <si>
    <t>Lolium Multiflorum</t>
  </si>
  <si>
    <t>Trèfle Alexandrie</t>
  </si>
  <si>
    <t>Trèfle blanc/white clover</t>
  </si>
  <si>
    <t>Trèfle Incarnat</t>
  </si>
  <si>
    <t>Trèfle de Perse</t>
  </si>
  <si>
    <t>Trèfle Violet</t>
  </si>
  <si>
    <t>Luzerne</t>
  </si>
  <si>
    <t>Soja</t>
  </si>
  <si>
    <t xml:space="preserve"> Potagères/vegetable seeds (total) </t>
  </si>
  <si>
    <t>Seigle/rye summer + winter</t>
  </si>
  <si>
    <t>Triticale summer + winter</t>
  </si>
  <si>
    <t>Hyb clover</t>
  </si>
  <si>
    <t>ESGG - Allemagne/Germany</t>
  </si>
  <si>
    <t>ESGG - Belgique/Belgium</t>
  </si>
  <si>
    <t>ESGG -Danemark/Denmark</t>
  </si>
  <si>
    <t>ESGG - Pays-Bas/Netherlands</t>
  </si>
  <si>
    <t>ESGG - Suède/Sweden</t>
  </si>
  <si>
    <t>ESGG -Finlande/Finland</t>
  </si>
  <si>
    <t>ESGG - Royaume-Uni/United Kingdom</t>
  </si>
  <si>
    <t>ESGG - ITALY</t>
  </si>
  <si>
    <t>TOTAL GENERAL</t>
  </si>
  <si>
    <t>Epeautre/Spelt</t>
  </si>
  <si>
    <t>Lin textile/Flax</t>
  </si>
  <si>
    <t>Colza Lignée/Standard colza</t>
  </si>
  <si>
    <t>Colza hybride/hybrid rape</t>
  </si>
  <si>
    <t>Lin textile/flax</t>
  </si>
  <si>
    <t>Epautre/Spelt</t>
  </si>
  <si>
    <t>Triticale/tritical</t>
  </si>
  <si>
    <t>Orge barley</t>
  </si>
  <si>
    <t>-</t>
  </si>
  <si>
    <t>Avoine/Oat</t>
  </si>
  <si>
    <t>ESGG -Pologne/Poland</t>
  </si>
  <si>
    <t>RGA (ESSG-9)</t>
  </si>
  <si>
    <t>RGA (ESSG-8)</t>
  </si>
  <si>
    <t>RGI (ESSG-9)</t>
  </si>
  <si>
    <t>RGI (ESSG-8)</t>
  </si>
  <si>
    <t>Red Fescue (ESSG-9)</t>
  </si>
  <si>
    <t>Red Fescue (ESSG-8)</t>
  </si>
  <si>
    <t>Dactyle (ESGG-9)</t>
  </si>
  <si>
    <t>France</t>
  </si>
  <si>
    <t>Danemark</t>
  </si>
  <si>
    <t>Winter wheat</t>
  </si>
  <si>
    <t>Germany</t>
  </si>
  <si>
    <t>Denmark</t>
  </si>
  <si>
    <t>Italy</t>
  </si>
  <si>
    <t>Netherland</t>
  </si>
  <si>
    <t>Finland</t>
  </si>
  <si>
    <t>United-Kingdom</t>
  </si>
  <si>
    <t>2006*</t>
  </si>
  <si>
    <t>* chiffres provisoires, uniquement pour la région flamande</t>
  </si>
  <si>
    <t>Belgium</t>
  </si>
  <si>
    <t>Durum wheat</t>
  </si>
  <si>
    <t>Winter barley</t>
  </si>
  <si>
    <t>Sweden</t>
  </si>
  <si>
    <t>Summer barley</t>
  </si>
  <si>
    <t>Tritical</t>
  </si>
  <si>
    <t>Rye</t>
  </si>
  <si>
    <t>Betterave</t>
  </si>
  <si>
    <t>Italie</t>
  </si>
  <si>
    <t>Cocksfoot</t>
  </si>
  <si>
    <t>Red fescue</t>
  </si>
  <si>
    <t>Meadow fescue</t>
  </si>
  <si>
    <t>Tall fescue</t>
  </si>
  <si>
    <t>Sheep fescue</t>
  </si>
  <si>
    <t>Perennial ryegrass</t>
  </si>
  <si>
    <t>Hybrid ryegrass</t>
  </si>
  <si>
    <t>Italian ryegrass</t>
  </si>
  <si>
    <t>Red clover</t>
  </si>
  <si>
    <t>White clover</t>
  </si>
  <si>
    <t>Alfalfa</t>
  </si>
  <si>
    <t>Epeautre</t>
  </si>
  <si>
    <t>Vegetable seed</t>
  </si>
  <si>
    <t>Rape</t>
  </si>
  <si>
    <t>Belgique</t>
  </si>
  <si>
    <t>Allemagne</t>
  </si>
  <si>
    <t>Suède</t>
  </si>
  <si>
    <t>Finlande</t>
  </si>
  <si>
    <t>UK</t>
  </si>
  <si>
    <t>Dactylis glomerata/Cocksfoot</t>
  </si>
  <si>
    <t>Kentucky bluegrass</t>
  </si>
  <si>
    <t xml:space="preserve">AGROSTIS CANINA L.    </t>
  </si>
  <si>
    <t xml:space="preserve">AGROSTIS GIGANTEA ROTH. </t>
  </si>
  <si>
    <t xml:space="preserve">AGROSTIS STOLONIFERA L. </t>
  </si>
  <si>
    <t>AGROSTIS TENUIS.CAPILL.</t>
  </si>
  <si>
    <t xml:space="preserve">ARRHENATHERUM ELATIUS L </t>
  </si>
  <si>
    <t xml:space="preserve">DACTYLIS GLOMERATA L.   </t>
  </si>
  <si>
    <t>FESTUCA ARUNDINACAE SCH.</t>
  </si>
  <si>
    <t xml:space="preserve">FESTUCA OVINA L.        </t>
  </si>
  <si>
    <t xml:space="preserve">FESTUCA PRATENSIS HUDS. </t>
  </si>
  <si>
    <t xml:space="preserve">FESTUCA RUBRA L.        </t>
  </si>
  <si>
    <t>FESTULOLIUM</t>
  </si>
  <si>
    <t xml:space="preserve">LOLIUM MULTIFLORUM LAM. </t>
  </si>
  <si>
    <t xml:space="preserve">LOLIUM PER. L. </t>
  </si>
  <si>
    <t>LOLIUM X BOUCHEANUM</t>
  </si>
  <si>
    <t xml:space="preserve">PHLEUM BERTOLONII (DC)  </t>
  </si>
  <si>
    <t xml:space="preserve">PHLEUM PRATENSE L.      </t>
  </si>
  <si>
    <t>POA NEMORALIS L.</t>
  </si>
  <si>
    <t>POA PRATENSIS L.</t>
  </si>
  <si>
    <t xml:space="preserve">POA TRIVIALIS L.et PALUSTRIS       </t>
  </si>
  <si>
    <t xml:space="preserve">GRAMINAE (FOURRAG.)  </t>
  </si>
  <si>
    <t>HEDYSARIUM CORONARIUM L.</t>
  </si>
  <si>
    <t xml:space="preserve">MEDICAGO LUPULINA L.    </t>
  </si>
  <si>
    <t>MEDICAGO SATIVA L. (ECOT</t>
  </si>
  <si>
    <t>MEDICAGO SATIVA L. (VARI</t>
  </si>
  <si>
    <t>ONOBRICHIS VICIIFOLIA SC</t>
  </si>
  <si>
    <t xml:space="preserve">PISUM SATIVUM L. PARTIM </t>
  </si>
  <si>
    <t>TRIFOLIUM ALEXANDRINUM L</t>
  </si>
  <si>
    <t xml:space="preserve">TRIFOLIUM HYBRIDUM L.   </t>
  </si>
  <si>
    <t xml:space="preserve">TRIFOLIUM INCARNATUM L. </t>
  </si>
  <si>
    <t xml:space="preserve">TRIFOLIUM PRATENSE L.   </t>
  </si>
  <si>
    <t xml:space="preserve">TRIFOLIUM REPENS L.     </t>
  </si>
  <si>
    <t>TRIFOLIUM REPENS L. GIGA</t>
  </si>
  <si>
    <t>TRIFOLIUM RESUPINATUM L.</t>
  </si>
  <si>
    <t xml:space="preserve">VICIA FABA L. PARTIM    </t>
  </si>
  <si>
    <t xml:space="preserve">VICIA SATIVA L.         </t>
  </si>
  <si>
    <t xml:space="preserve">VICIA VILLOSA ROTH.     </t>
  </si>
  <si>
    <t>LEGUMINOSAE (FOURRAG.)</t>
  </si>
  <si>
    <t>EU 27</t>
  </si>
  <si>
    <t>Total ORGE</t>
  </si>
  <si>
    <t>graminées</t>
  </si>
  <si>
    <t>2010 EU 27</t>
  </si>
  <si>
    <t>2010 ESGG</t>
  </si>
  <si>
    <t>légumineuses</t>
  </si>
  <si>
    <t xml:space="preserve"> 2010 autres pays</t>
  </si>
  <si>
    <t>SURFACES acceptées à la certification</t>
  </si>
  <si>
    <t>2011 ESGG</t>
  </si>
  <si>
    <t>2011 autres pays</t>
  </si>
  <si>
    <t>2011 EU 27</t>
  </si>
  <si>
    <t>Poa pratensis- Kentucky bluegrass</t>
  </si>
  <si>
    <t>Festuca pratensis/Meadow fescue</t>
  </si>
  <si>
    <t>Festuca arundinacea/Tall fescue</t>
  </si>
  <si>
    <t>autres oléagineux / other oil seeds</t>
  </si>
  <si>
    <t>Czech republic</t>
  </si>
  <si>
    <t>Poland</t>
  </si>
  <si>
    <t>update 
2018-03-16</t>
  </si>
  <si>
    <t>PREV 2018</t>
  </si>
  <si>
    <t>2017/2016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</si>
</sst>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_F"/>
    <numFmt numFmtId="181" formatCode="#,##0.0"/>
    <numFmt numFmtId="182" formatCode="0.0000"/>
    <numFmt numFmtId="183" formatCode="0.000"/>
    <numFmt numFmtId="184" formatCode="0.0"/>
    <numFmt numFmtId="185" formatCode="&quot;kr&quot;\ #,##0_);\(&quot;kr&quot;\ #,##0\)"/>
    <numFmt numFmtId="186" formatCode="&quot;kr&quot;\ #,##0_);[Red]\(&quot;kr&quot;\ #,##0\)"/>
    <numFmt numFmtId="187" formatCode="&quot;kr&quot;\ #,##0.00_);\(&quot;kr&quot;\ #,##0.00\)"/>
    <numFmt numFmtId="188" formatCode="&quot;kr&quot;\ #,##0.00_);[Red]\(&quot;kr&quot;\ #,##0.00\)"/>
    <numFmt numFmtId="189" formatCode="_(&quot;kr&quot;\ * #,##0_);_(&quot;kr&quot;\ * \(#,##0\);_(&quot;kr&quot;\ * &quot;-&quot;_);_(@_)"/>
    <numFmt numFmtId="190" formatCode="_(* #,##0_);_(* \(#,##0\);_(* &quot;-&quot;_);_(@_)"/>
    <numFmt numFmtId="191" formatCode="_(&quot;kr&quot;\ * #,##0.00_);_(&quot;kr&quot;\ * \(#,##0.00\);_(&quot;kr&quot;\ * &quot;-&quot;??_);_(@_)"/>
    <numFmt numFmtId="192" formatCode="_(* #,##0.00_);_(* \(#,##0.00\);_(* &quot;-&quot;??_);_(@_)"/>
    <numFmt numFmtId="193" formatCode="&quot;L.&quot;\ #,##0;\-&quot;L.&quot;\ #,##0"/>
    <numFmt numFmtId="194" formatCode="&quot;L.&quot;\ #,##0;[Red]\-&quot;L.&quot;\ #,##0"/>
    <numFmt numFmtId="195" formatCode="&quot;L.&quot;\ #,##0.00;\-&quot;L.&quot;\ #,##0.00"/>
    <numFmt numFmtId="196" formatCode="&quot;L.&quot;\ #,##0.00;[Red]\-&quot;L.&quot;\ #,##0.00"/>
    <numFmt numFmtId="197" formatCode="_-&quot;L.&quot;\ * #,##0_-;\-&quot;L.&quot;\ * #,##0_-;_-&quot;L.&quot;\ * &quot;-&quot;_-;_-@_-"/>
    <numFmt numFmtId="198" formatCode="_-&quot;L.&quot;\ * #,##0.00_-;\-&quot;L.&quot;\ * #,##0.00_-;_-&quot;L.&quot;\ * &quot;-&quot;??_-;_-@_-"/>
    <numFmt numFmtId="199" formatCode="00"/>
    <numFmt numFmtId="200" formatCode="&quot;Vrai&quot;;&quot;Vrai&quot;;&quot;Faux&quot;"/>
    <numFmt numFmtId="201" formatCode="&quot;Actif&quot;;&quot;Actif&quot;;&quot;Inactif&quot;"/>
    <numFmt numFmtId="202" formatCode="#,##0&quot;   &quot;"/>
    <numFmt numFmtId="203" formatCode="0&quot; &quot;%&quot;  &quot;"/>
    <numFmt numFmtId="204" formatCode="0&quot; &quot;%&quot; &quot;"/>
    <numFmt numFmtId="205" formatCode="_-* #,##0\ _€_-;\-* #,##0\ _€_-;_-* &quot;-&quot;??\ _€_-;_-@_-"/>
    <numFmt numFmtId="206" formatCode="[$-40C]dddd\ d\ mmmm\ yyyy"/>
    <numFmt numFmtId="207" formatCode="[$€-2]\ #,##0.00_);[Red]\([$€-2]\ #,##0.00\)"/>
    <numFmt numFmtId="208" formatCode="#,##0\ _€"/>
    <numFmt numFmtId="209" formatCode="#\ ##0\ _€"/>
    <numFmt numFmtId="210" formatCode="_ * #,##0.00_ ;_ * \-#,##0.00_ ;_ * &quot;-&quot;??_ ;_ @_ "/>
  </numFmts>
  <fonts count="1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doub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i/>
      <sz val="14"/>
      <name val="Arial"/>
      <family val="2"/>
    </font>
    <font>
      <b/>
      <sz val="15"/>
      <name val="Arial"/>
      <family val="2"/>
    </font>
    <font>
      <b/>
      <i/>
      <u val="single"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0"/>
    </font>
    <font>
      <sz val="7.1"/>
      <color indexed="8"/>
      <name val="Arial"/>
      <family val="0"/>
    </font>
    <font>
      <sz val="16"/>
      <color indexed="8"/>
      <name val="Arial"/>
      <family val="0"/>
    </font>
    <font>
      <b/>
      <sz val="10"/>
      <color indexed="52"/>
      <name val="Arial"/>
      <family val="0"/>
    </font>
    <font>
      <b/>
      <sz val="10"/>
      <color indexed="18"/>
      <name val="Arial"/>
      <family val="0"/>
    </font>
    <font>
      <b/>
      <sz val="11"/>
      <color indexed="54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24"/>
      <color indexed="8"/>
      <name val="Albertus"/>
      <family val="0"/>
    </font>
    <font>
      <sz val="8.45"/>
      <color indexed="8"/>
      <name val="Arial"/>
      <family val="0"/>
    </font>
    <font>
      <sz val="9.5"/>
      <color indexed="8"/>
      <name val="Arial"/>
      <family val="0"/>
    </font>
    <font>
      <sz val="14"/>
      <color indexed="8"/>
      <name val="Arial"/>
      <family val="0"/>
    </font>
    <font>
      <sz val="10.1"/>
      <color indexed="8"/>
      <name val="Arial"/>
      <family val="0"/>
    </font>
    <font>
      <b/>
      <sz val="12"/>
      <color indexed="17"/>
      <name val="Arial"/>
      <family val="0"/>
    </font>
    <font>
      <b/>
      <sz val="11"/>
      <color indexed="17"/>
      <name val="Arial"/>
      <family val="0"/>
    </font>
    <font>
      <sz val="11"/>
      <color indexed="8"/>
      <name val="Arial"/>
      <family val="0"/>
    </font>
    <font>
      <b/>
      <sz val="10"/>
      <color indexed="14"/>
      <name val="Arial"/>
      <family val="0"/>
    </font>
    <font>
      <b/>
      <sz val="20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21"/>
      <name val="Arial"/>
      <family val="0"/>
    </font>
    <font>
      <sz val="10.8"/>
      <color indexed="8"/>
      <name val="Arial"/>
      <family val="0"/>
    </font>
    <font>
      <b/>
      <sz val="24"/>
      <color indexed="8"/>
      <name val="Arial"/>
      <family val="0"/>
    </font>
    <font>
      <sz val="7.55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52"/>
      <name val="Arial"/>
      <family val="0"/>
    </font>
    <font>
      <sz val="8.5"/>
      <color indexed="8"/>
      <name val="Arial"/>
      <family val="0"/>
    </font>
    <font>
      <sz val="24"/>
      <color indexed="8"/>
      <name val="Arial"/>
      <family val="0"/>
    </font>
    <font>
      <sz val="11"/>
      <color indexed="57"/>
      <name val="Arial"/>
      <family val="0"/>
    </font>
    <font>
      <b/>
      <sz val="11"/>
      <color indexed="62"/>
      <name val="Arial"/>
      <family val="0"/>
    </font>
    <font>
      <b/>
      <sz val="11"/>
      <color indexed="57"/>
      <name val="Arial"/>
      <family val="0"/>
    </font>
    <font>
      <b/>
      <sz val="10"/>
      <color indexed="48"/>
      <name val="Arial"/>
      <family val="0"/>
    </font>
    <font>
      <b/>
      <sz val="12"/>
      <color indexed="14"/>
      <name val="Arial"/>
      <family val="0"/>
    </font>
    <font>
      <b/>
      <sz val="12"/>
      <color indexed="10"/>
      <name val="Arial"/>
      <family val="0"/>
    </font>
    <font>
      <b/>
      <sz val="12"/>
      <color indexed="21"/>
      <name val="Arial"/>
      <family val="0"/>
    </font>
    <font>
      <b/>
      <sz val="12"/>
      <color indexed="20"/>
      <name val="Arial"/>
      <family val="0"/>
    </font>
    <font>
      <b/>
      <sz val="10"/>
      <color indexed="58"/>
      <name val="Arial"/>
      <family val="0"/>
    </font>
    <font>
      <sz val="7.8"/>
      <color indexed="8"/>
      <name val="Arial"/>
      <family val="0"/>
    </font>
    <font>
      <b/>
      <sz val="10"/>
      <color indexed="30"/>
      <name val="Arial"/>
      <family val="0"/>
    </font>
    <font>
      <sz val="7.15"/>
      <color indexed="8"/>
      <name val="Arial"/>
      <family val="0"/>
    </font>
    <font>
      <sz val="10"/>
      <color indexed="14"/>
      <name val="Arial"/>
      <family val="0"/>
    </font>
    <font>
      <b/>
      <sz val="10"/>
      <color indexed="20"/>
      <name val="Arial"/>
      <family val="0"/>
    </font>
    <font>
      <b/>
      <sz val="10"/>
      <color indexed="60"/>
      <name val="Arial"/>
      <family val="0"/>
    </font>
    <font>
      <b/>
      <sz val="10"/>
      <color indexed="12"/>
      <name val="Arial"/>
      <family val="0"/>
    </font>
    <font>
      <b/>
      <sz val="10"/>
      <color indexed="40"/>
      <name val="Arial"/>
      <family val="0"/>
    </font>
    <font>
      <b/>
      <sz val="10"/>
      <color indexed="29"/>
      <name val="Arial"/>
      <family val="0"/>
    </font>
    <font>
      <sz val="24"/>
      <color indexed="8"/>
      <name val="Albertus"/>
      <family val="0"/>
    </font>
    <font>
      <b/>
      <sz val="10"/>
      <color indexed="57"/>
      <name val="Arial"/>
      <family val="0"/>
    </font>
    <font>
      <b/>
      <sz val="10"/>
      <color indexed="62"/>
      <name val="Arial"/>
      <family val="0"/>
    </font>
    <font>
      <sz val="20"/>
      <color indexed="8"/>
      <name val="Albertus"/>
      <family val="0"/>
    </font>
    <font>
      <b/>
      <sz val="12"/>
      <color indexed="18"/>
      <name val="Arial"/>
      <family val="0"/>
    </font>
    <font>
      <sz val="9.25"/>
      <color indexed="8"/>
      <name val="Arial"/>
      <family val="0"/>
    </font>
    <font>
      <b/>
      <sz val="10"/>
      <color indexed="24"/>
      <name val="Arial"/>
      <family val="0"/>
    </font>
    <font>
      <b/>
      <sz val="11"/>
      <color indexed="18"/>
      <name val="Arial"/>
      <family val="0"/>
    </font>
    <font>
      <b/>
      <sz val="10"/>
      <color indexed="50"/>
      <name val="Arial"/>
      <family val="0"/>
    </font>
    <font>
      <b/>
      <sz val="10"/>
      <color indexed="27"/>
      <name val="Arial"/>
      <family val="0"/>
    </font>
    <font>
      <b/>
      <sz val="10"/>
      <color indexed="46"/>
      <name val="Arial"/>
      <family val="0"/>
    </font>
    <font>
      <b/>
      <sz val="11"/>
      <color indexed="12"/>
      <name val="Arial"/>
      <family val="0"/>
    </font>
    <font>
      <b/>
      <sz val="9"/>
      <color indexed="17"/>
      <name val="Arial"/>
      <family val="0"/>
    </font>
    <font>
      <b/>
      <sz val="14"/>
      <color indexed="8"/>
      <name val="Arial"/>
      <family val="0"/>
    </font>
    <font>
      <b/>
      <sz val="18.25"/>
      <color indexed="8"/>
      <name val="Arial"/>
      <family val="0"/>
    </font>
    <font>
      <sz val="11.25"/>
      <color indexed="8"/>
      <name val="Candara"/>
      <family val="0"/>
    </font>
    <font>
      <sz val="11"/>
      <color indexed="8"/>
      <name val="Candara"/>
      <family val="0"/>
    </font>
    <font>
      <sz val="20"/>
      <color indexed="8"/>
      <name val="Candara"/>
      <family val="0"/>
    </font>
    <font>
      <b/>
      <sz val="26"/>
      <color indexed="8"/>
      <name val="Candara"/>
      <family val="0"/>
    </font>
    <font>
      <sz val="11.4"/>
      <color indexed="8"/>
      <name val="Candara"/>
      <family val="0"/>
    </font>
    <font>
      <sz val="14"/>
      <color indexed="8"/>
      <name val="Candara"/>
      <family val="0"/>
    </font>
    <font>
      <sz val="22"/>
      <color indexed="8"/>
      <name val="Candara"/>
      <family val="0"/>
    </font>
    <font>
      <sz val="12.8"/>
      <color indexed="8"/>
      <name val="Canda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20" fillId="21" borderId="0" applyNumberFormat="0" applyBorder="0" applyAlignment="0" applyProtection="0"/>
    <xf numFmtId="0" fontId="109" fillId="22" borderId="0" applyNumberFormat="0" applyBorder="0" applyAlignment="0" applyProtection="0"/>
    <xf numFmtId="0" fontId="20" fillId="23" borderId="0" applyNumberFormat="0" applyBorder="0" applyAlignment="0" applyProtection="0"/>
    <xf numFmtId="0" fontId="109" fillId="24" borderId="0" applyNumberFormat="0" applyBorder="0" applyAlignment="0" applyProtection="0"/>
    <xf numFmtId="0" fontId="20" fillId="25" borderId="0" applyNumberFormat="0" applyBorder="0" applyAlignment="0" applyProtection="0"/>
    <xf numFmtId="0" fontId="109" fillId="26" borderId="0" applyNumberFormat="0" applyBorder="0" applyAlignment="0" applyProtection="0"/>
    <xf numFmtId="0" fontId="20" fillId="27" borderId="0" applyNumberFormat="0" applyBorder="0" applyAlignment="0" applyProtection="0"/>
    <xf numFmtId="0" fontId="109" fillId="28" borderId="0" applyNumberFormat="0" applyBorder="0" applyAlignment="0" applyProtection="0"/>
    <xf numFmtId="0" fontId="20" fillId="29" borderId="0" applyNumberFormat="0" applyBorder="0" applyAlignment="0" applyProtection="0"/>
    <xf numFmtId="0" fontId="109" fillId="30" borderId="0" applyNumberFormat="0" applyBorder="0" applyAlignment="0" applyProtection="0"/>
    <xf numFmtId="0" fontId="20" fillId="31" borderId="0" applyNumberFormat="0" applyBorder="0" applyAlignment="0" applyProtection="0"/>
    <xf numFmtId="0" fontId="1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1" fillId="32" borderId="1" applyNumberFormat="0" applyAlignment="0" applyProtection="0"/>
    <xf numFmtId="0" fontId="22" fillId="33" borderId="2" applyNumberFormat="0" applyAlignment="0" applyProtection="0"/>
    <xf numFmtId="0" fontId="112" fillId="0" borderId="3" applyNumberFormat="0" applyFill="0" applyAlignment="0" applyProtection="0"/>
    <xf numFmtId="0" fontId="21" fillId="0" borderId="4" applyNumberFormat="0" applyFill="0" applyAlignment="0" applyProtection="0"/>
    <xf numFmtId="0" fontId="0" fillId="34" borderId="5" applyNumberFormat="0" applyFont="0" applyAlignment="0" applyProtection="0"/>
    <xf numFmtId="0" fontId="0" fillId="35" borderId="6" applyNumberFormat="0" applyFont="0" applyAlignment="0" applyProtection="0"/>
    <xf numFmtId="0" fontId="113" fillId="36" borderId="1" applyNumberFormat="0" applyAlignment="0" applyProtection="0"/>
    <xf numFmtId="0" fontId="23" fillId="37" borderId="2" applyNumberFormat="0" applyAlignment="0" applyProtection="0"/>
    <xf numFmtId="0" fontId="114" fillId="3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5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16" fillId="0" borderId="0">
      <alignment vertical="top"/>
      <protection/>
    </xf>
    <xf numFmtId="9" fontId="0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17" fillId="40" borderId="0" applyNumberFormat="0" applyBorder="0" applyAlignment="0" applyProtection="0"/>
    <xf numFmtId="0" fontId="118" fillId="32" borderId="7" applyNumberFormat="0" applyAlignment="0" applyProtection="0"/>
    <xf numFmtId="0" fontId="24" fillId="33" borderId="8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10" applyNumberFormat="0" applyFill="0" applyAlignment="0" applyProtection="0"/>
    <xf numFmtId="0" fontId="123" fillId="0" borderId="1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12" applyNumberFormat="0" applyFill="0" applyAlignment="0" applyProtection="0"/>
    <xf numFmtId="0" fontId="125" fillId="41" borderId="13" applyNumberFormat="0" applyAlignment="0" applyProtection="0"/>
  </cellStyleXfs>
  <cellXfs count="4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17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16" xfId="0" applyNumberForma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7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3" fontId="0" fillId="0" borderId="16" xfId="59" applyNumberFormat="1" applyBorder="1" applyAlignment="1">
      <alignment horizontal="right"/>
    </xf>
    <xf numFmtId="3" fontId="0" fillId="0" borderId="16" xfId="59" applyNumberFormat="1" applyBorder="1" applyAlignment="1">
      <alignment/>
    </xf>
    <xf numFmtId="3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/>
    </xf>
    <xf numFmtId="3" fontId="0" fillId="0" borderId="16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 quotePrefix="1">
      <alignment/>
    </xf>
    <xf numFmtId="3" fontId="0" fillId="0" borderId="17" xfId="0" applyNumberFormat="1" applyBorder="1" applyAlignment="1">
      <alignment vertical="center"/>
    </xf>
    <xf numFmtId="1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1" fontId="0" fillId="0" borderId="17" xfId="0" applyNumberFormat="1" applyFont="1" applyBorder="1" applyAlignment="1">
      <alignment/>
    </xf>
    <xf numFmtId="0" fontId="5" fillId="42" borderId="0" xfId="0" applyFont="1" applyFill="1" applyAlignment="1">
      <alignment horizontal="left"/>
    </xf>
    <xf numFmtId="0" fontId="5" fillId="42" borderId="0" xfId="0" applyFont="1" applyFill="1" applyAlignment="1">
      <alignment horizontal="center"/>
    </xf>
    <xf numFmtId="3" fontId="5" fillId="42" borderId="17" xfId="0" applyNumberFormat="1" applyFont="1" applyFill="1" applyBorder="1" applyAlignment="1">
      <alignment horizontal="left"/>
    </xf>
    <xf numFmtId="3" fontId="5" fillId="42" borderId="14" xfId="0" applyNumberFormat="1" applyFont="1" applyFill="1" applyBorder="1" applyAlignment="1">
      <alignment horizontal="center"/>
    </xf>
    <xf numFmtId="3" fontId="5" fillId="42" borderId="15" xfId="0" applyNumberFormat="1" applyFont="1" applyFill="1" applyBorder="1" applyAlignment="1">
      <alignment horizontal="center"/>
    </xf>
    <xf numFmtId="0" fontId="5" fillId="42" borderId="16" xfId="0" applyNumberFormat="1" applyFont="1" applyFill="1" applyBorder="1" applyAlignment="1">
      <alignment horizontal="center"/>
    </xf>
    <xf numFmtId="3" fontId="5" fillId="42" borderId="16" xfId="0" applyNumberFormat="1" applyFont="1" applyFill="1" applyBorder="1" applyAlignment="1">
      <alignment horizontal="center"/>
    </xf>
    <xf numFmtId="3" fontId="1" fillId="42" borderId="17" xfId="0" applyNumberFormat="1" applyFont="1" applyFill="1" applyBorder="1" applyAlignment="1">
      <alignment/>
    </xf>
    <xf numFmtId="3" fontId="1" fillId="42" borderId="14" xfId="0" applyNumberFormat="1" applyFont="1" applyFill="1" applyBorder="1" applyAlignment="1">
      <alignment/>
    </xf>
    <xf numFmtId="3" fontId="1" fillId="42" borderId="15" xfId="0" applyNumberFormat="1" applyFont="1" applyFill="1" applyBorder="1" applyAlignment="1">
      <alignment/>
    </xf>
    <xf numFmtId="3" fontId="1" fillId="42" borderId="16" xfId="0" applyNumberFormat="1" applyFont="1" applyFill="1" applyBorder="1" applyAlignment="1">
      <alignment/>
    </xf>
    <xf numFmtId="3" fontId="1" fillId="42" borderId="19" xfId="0" applyNumberFormat="1" applyFont="1" applyFill="1" applyBorder="1" applyAlignment="1">
      <alignment/>
    </xf>
    <xf numFmtId="3" fontId="1" fillId="42" borderId="18" xfId="0" applyNumberFormat="1" applyFont="1" applyFill="1" applyBorder="1" applyAlignment="1">
      <alignment/>
    </xf>
    <xf numFmtId="3" fontId="1" fillId="42" borderId="20" xfId="0" applyNumberFormat="1" applyFont="1" applyFill="1" applyBorder="1" applyAlignment="1">
      <alignment/>
    </xf>
    <xf numFmtId="3" fontId="1" fillId="42" borderId="22" xfId="0" applyNumberFormat="1" applyFont="1" applyFill="1" applyBorder="1" applyAlignment="1">
      <alignment/>
    </xf>
    <xf numFmtId="3" fontId="1" fillId="42" borderId="17" xfId="0" applyNumberFormat="1" applyFont="1" applyFill="1" applyBorder="1" applyAlignment="1">
      <alignment/>
    </xf>
    <xf numFmtId="3" fontId="1" fillId="42" borderId="14" xfId="0" applyNumberFormat="1" applyFont="1" applyFill="1" applyBorder="1" applyAlignment="1">
      <alignment/>
    </xf>
    <xf numFmtId="3" fontId="1" fillId="42" borderId="15" xfId="0" applyNumberFormat="1" applyFont="1" applyFill="1" applyBorder="1" applyAlignment="1">
      <alignment/>
    </xf>
    <xf numFmtId="3" fontId="1" fillId="42" borderId="16" xfId="0" applyNumberFormat="1" applyFont="1" applyFill="1" applyBorder="1" applyAlignment="1">
      <alignment/>
    </xf>
    <xf numFmtId="3" fontId="1" fillId="42" borderId="16" xfId="0" applyNumberFormat="1" applyFont="1" applyFill="1" applyBorder="1" applyAlignment="1">
      <alignment horizontal="center"/>
    </xf>
    <xf numFmtId="3" fontId="1" fillId="42" borderId="17" xfId="0" applyNumberFormat="1" applyFont="1" applyFill="1" applyBorder="1" applyAlignment="1">
      <alignment/>
    </xf>
    <xf numFmtId="3" fontId="1" fillId="42" borderId="14" xfId="0" applyNumberFormat="1" applyFont="1" applyFill="1" applyBorder="1" applyAlignment="1">
      <alignment/>
    </xf>
    <xf numFmtId="3" fontId="1" fillId="42" borderId="15" xfId="0" applyNumberFormat="1" applyFont="1" applyFill="1" applyBorder="1" applyAlignment="1">
      <alignment/>
    </xf>
    <xf numFmtId="3" fontId="1" fillId="42" borderId="16" xfId="0" applyNumberFormat="1" applyFont="1" applyFill="1" applyBorder="1" applyAlignment="1">
      <alignment/>
    </xf>
    <xf numFmtId="0" fontId="5" fillId="42" borderId="0" xfId="0" applyFont="1" applyFill="1" applyAlignment="1">
      <alignment horizontal="left" vertical="center"/>
    </xf>
    <xf numFmtId="0" fontId="5" fillId="42" borderId="0" xfId="0" applyFont="1" applyFill="1" applyAlignment="1">
      <alignment horizontal="center" vertical="center"/>
    </xf>
    <xf numFmtId="0" fontId="5" fillId="42" borderId="17" xfId="0" applyFont="1" applyFill="1" applyBorder="1" applyAlignment="1">
      <alignment horizontal="left" vertical="center"/>
    </xf>
    <xf numFmtId="0" fontId="5" fillId="42" borderId="14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6" xfId="0" applyNumberFormat="1" applyFont="1" applyFill="1" applyBorder="1" applyAlignment="1">
      <alignment horizontal="center" vertical="center"/>
    </xf>
    <xf numFmtId="3" fontId="5" fillId="42" borderId="16" xfId="0" applyNumberFormat="1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vertical="center"/>
    </xf>
    <xf numFmtId="0" fontId="1" fillId="42" borderId="14" xfId="0" applyFont="1" applyFill="1" applyBorder="1" applyAlignment="1">
      <alignment vertical="center"/>
    </xf>
    <xf numFmtId="0" fontId="1" fillId="42" borderId="15" xfId="0" applyFont="1" applyFill="1" applyBorder="1" applyAlignment="1">
      <alignment vertical="center"/>
    </xf>
    <xf numFmtId="3" fontId="1" fillId="42" borderId="16" xfId="0" applyNumberFormat="1" applyFont="1" applyFill="1" applyBorder="1" applyAlignment="1">
      <alignment vertical="center"/>
    </xf>
    <xf numFmtId="0" fontId="1" fillId="42" borderId="16" xfId="0" applyFont="1" applyFill="1" applyBorder="1" applyAlignment="1">
      <alignment vertical="center"/>
    </xf>
    <xf numFmtId="0" fontId="5" fillId="42" borderId="17" xfId="0" applyFont="1" applyFill="1" applyBorder="1" applyAlignment="1">
      <alignment horizontal="left"/>
    </xf>
    <xf numFmtId="0" fontId="5" fillId="42" borderId="14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3" fontId="5" fillId="42" borderId="16" xfId="0" applyNumberFormat="1" applyFont="1" applyFill="1" applyBorder="1" applyAlignment="1">
      <alignment horizontal="right"/>
    </xf>
    <xf numFmtId="0" fontId="5" fillId="42" borderId="16" xfId="0" applyNumberFormat="1" applyFont="1" applyFill="1" applyBorder="1" applyAlignment="1">
      <alignment horizontal="right"/>
    </xf>
    <xf numFmtId="0" fontId="5" fillId="42" borderId="16" xfId="0" applyFont="1" applyFill="1" applyBorder="1" applyAlignment="1">
      <alignment horizontal="center"/>
    </xf>
    <xf numFmtId="1" fontId="5" fillId="42" borderId="16" xfId="0" applyNumberFormat="1" applyFont="1" applyFill="1" applyBorder="1" applyAlignment="1">
      <alignment horizontal="center"/>
    </xf>
    <xf numFmtId="0" fontId="1" fillId="42" borderId="17" xfId="0" applyFont="1" applyFill="1" applyBorder="1" applyAlignment="1">
      <alignment/>
    </xf>
    <xf numFmtId="0" fontId="1" fillId="42" borderId="14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42" borderId="16" xfId="0" applyFont="1" applyFill="1" applyBorder="1" applyAlignment="1">
      <alignment/>
    </xf>
    <xf numFmtId="0" fontId="0" fillId="42" borderId="16" xfId="0" applyFill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9" fontId="0" fillId="42" borderId="0" xfId="70" applyFont="1" applyFill="1" applyAlignment="1">
      <alignment/>
    </xf>
    <xf numFmtId="3" fontId="5" fillId="42" borderId="16" xfId="0" applyNumberFormat="1" applyFont="1" applyFill="1" applyBorder="1" applyAlignment="1">
      <alignment horizontal="center" vertical="center" wrapText="1"/>
    </xf>
    <xf numFmtId="0" fontId="0" fillId="43" borderId="0" xfId="0" applyFill="1" applyAlignment="1">
      <alignment/>
    </xf>
    <xf numFmtId="0" fontId="0" fillId="43" borderId="23" xfId="0" applyFont="1" applyFill="1" applyBorder="1" applyAlignment="1">
      <alignment/>
    </xf>
    <xf numFmtId="0" fontId="7" fillId="43" borderId="23" xfId="0" applyFont="1" applyFill="1" applyBorder="1" applyAlignment="1">
      <alignment/>
    </xf>
    <xf numFmtId="0" fontId="0" fillId="0" borderId="0" xfId="0" applyFill="1" applyAlignment="1">
      <alignment/>
    </xf>
    <xf numFmtId="0" fontId="5" fillId="44" borderId="24" xfId="0" applyNumberFormat="1" applyFont="1" applyFill="1" applyBorder="1" applyAlignment="1">
      <alignment horizontal="center"/>
    </xf>
    <xf numFmtId="0" fontId="1" fillId="42" borderId="0" xfId="0" applyFont="1" applyFill="1" applyAlignment="1">
      <alignment/>
    </xf>
    <xf numFmtId="199" fontId="1" fillId="42" borderId="0" xfId="0" applyNumberFormat="1" applyFont="1" applyFill="1" applyAlignment="1" quotePrefix="1">
      <alignment/>
    </xf>
    <xf numFmtId="199" fontId="1" fillId="42" borderId="0" xfId="0" applyNumberFormat="1" applyFont="1" applyFill="1" applyAlignment="1">
      <alignment/>
    </xf>
    <xf numFmtId="1" fontId="5" fillId="42" borderId="16" xfId="0" applyNumberFormat="1" applyFont="1" applyFill="1" applyBorder="1" applyAlignment="1">
      <alignment/>
    </xf>
    <xf numFmtId="0" fontId="0" fillId="0" borderId="16" xfId="0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3" fontId="1" fillId="42" borderId="16" xfId="0" applyNumberFormat="1" applyFont="1" applyFill="1" applyBorder="1" applyAlignment="1">
      <alignment horizontal="right" wrapText="1"/>
    </xf>
    <xf numFmtId="3" fontId="0" fillId="0" borderId="24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2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3" fontId="13" fillId="0" borderId="26" xfId="0" applyNumberFormat="1" applyFont="1" applyBorder="1" applyAlignment="1" applyProtection="1">
      <alignment horizontal="right"/>
      <protection/>
    </xf>
    <xf numFmtId="0" fontId="11" fillId="0" borderId="25" xfId="0" applyFont="1" applyBorder="1" applyAlignment="1">
      <alignment/>
    </xf>
    <xf numFmtId="0" fontId="14" fillId="0" borderId="25" xfId="0" applyFont="1" applyBorder="1" applyAlignment="1">
      <alignment horizontal="right"/>
    </xf>
    <xf numFmtId="3" fontId="15" fillId="0" borderId="26" xfId="0" applyNumberFormat="1" applyFont="1" applyBorder="1" applyAlignment="1" applyProtection="1">
      <alignment horizontal="right"/>
      <protection/>
    </xf>
    <xf numFmtId="0" fontId="16" fillId="0" borderId="25" xfId="0" applyFont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3" fillId="0" borderId="27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3" fontId="0" fillId="0" borderId="16" xfId="65" applyNumberFormat="1" applyBorder="1">
      <alignment/>
      <protection/>
    </xf>
    <xf numFmtId="3" fontId="19" fillId="0" borderId="16" xfId="0" applyNumberFormat="1" applyFont="1" applyBorder="1" applyAlignment="1">
      <alignment/>
    </xf>
    <xf numFmtId="3" fontId="0" fillId="0" borderId="16" xfId="65" applyNumberFormat="1" applyFont="1" applyBorder="1">
      <alignment/>
      <protection/>
    </xf>
    <xf numFmtId="3" fontId="2" fillId="0" borderId="16" xfId="65" applyNumberFormat="1" applyFont="1" applyBorder="1" applyAlignment="1">
      <alignment/>
      <protection/>
    </xf>
    <xf numFmtId="3" fontId="0" fillId="0" borderId="16" xfId="65" applyNumberFormat="1" applyBorder="1" applyAlignment="1">
      <alignment/>
      <protection/>
    </xf>
    <xf numFmtId="0" fontId="0" fillId="0" borderId="16" xfId="65" applyBorder="1">
      <alignment/>
      <protection/>
    </xf>
    <xf numFmtId="0" fontId="0" fillId="0" borderId="16" xfId="65" applyFont="1" applyBorder="1">
      <alignment/>
      <protection/>
    </xf>
    <xf numFmtId="1" fontId="0" fillId="0" borderId="16" xfId="65" applyNumberFormat="1" applyFont="1" applyBorder="1">
      <alignment/>
      <protection/>
    </xf>
    <xf numFmtId="3" fontId="0" fillId="0" borderId="16" xfId="67" applyNumberFormat="1" applyFont="1" applyBorder="1">
      <alignment/>
      <protection/>
    </xf>
    <xf numFmtId="0" fontId="0" fillId="0" borderId="16" xfId="67" applyFont="1" applyBorder="1">
      <alignment/>
      <protection/>
    </xf>
    <xf numFmtId="1" fontId="0" fillId="0" borderId="16" xfId="67" applyNumberFormat="1" applyFont="1" applyBorder="1">
      <alignment/>
      <protection/>
    </xf>
    <xf numFmtId="0" fontId="19" fillId="0" borderId="16" xfId="67" applyFont="1" applyBorder="1">
      <alignment/>
      <protection/>
    </xf>
    <xf numFmtId="1" fontId="19" fillId="0" borderId="16" xfId="67" applyNumberFormat="1" applyFont="1" applyBorder="1">
      <alignment/>
      <protection/>
    </xf>
    <xf numFmtId="3" fontId="0" fillId="0" borderId="16" xfId="67" applyNumberFormat="1" applyFont="1" applyFill="1" applyBorder="1">
      <alignment/>
      <protection/>
    </xf>
    <xf numFmtId="1" fontId="1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1" fontId="5" fillId="0" borderId="22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vertical="center"/>
    </xf>
    <xf numFmtId="1" fontId="0" fillId="0" borderId="16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205" fontId="0" fillId="0" borderId="16" xfId="58" applyNumberFormat="1" applyFont="1" applyBorder="1" applyAlignment="1">
      <alignment/>
    </xf>
    <xf numFmtId="3" fontId="126" fillId="0" borderId="16" xfId="0" applyNumberFormat="1" applyFont="1" applyFill="1" applyBorder="1" applyAlignment="1">
      <alignment/>
    </xf>
    <xf numFmtId="3" fontId="126" fillId="0" borderId="16" xfId="0" applyNumberFormat="1" applyFont="1" applyBorder="1" applyAlignment="1">
      <alignment/>
    </xf>
    <xf numFmtId="3" fontId="127" fillId="0" borderId="16" xfId="65" applyNumberFormat="1" applyFont="1" applyBorder="1">
      <alignment/>
      <protection/>
    </xf>
    <xf numFmtId="3" fontId="128" fillId="0" borderId="16" xfId="6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16" xfId="65" applyFont="1" applyBorder="1">
      <alignment/>
      <protection/>
    </xf>
    <xf numFmtId="1" fontId="0" fillId="0" borderId="16" xfId="65" applyNumberFormat="1" applyFont="1" applyBorder="1">
      <alignment/>
      <protection/>
    </xf>
    <xf numFmtId="3" fontId="0" fillId="0" borderId="16" xfId="65" applyNumberFormat="1" applyFont="1" applyBorder="1" applyAlignment="1">
      <alignment/>
      <protection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43" borderId="23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2" borderId="16" xfId="0" applyFont="1" applyFill="1" applyBorder="1" applyAlignment="1">
      <alignment/>
    </xf>
    <xf numFmtId="208" fontId="0" fillId="0" borderId="16" xfId="0" applyNumberFormat="1" applyFont="1" applyBorder="1" applyAlignment="1">
      <alignment/>
    </xf>
    <xf numFmtId="208" fontId="0" fillId="0" borderId="17" xfId="0" applyNumberFormat="1" applyFont="1" applyBorder="1" applyAlignment="1">
      <alignment/>
    </xf>
    <xf numFmtId="208" fontId="0" fillId="0" borderId="16" xfId="0" applyNumberFormat="1" applyFont="1" applyBorder="1" applyAlignment="1">
      <alignment horizontal="right" wrapText="1"/>
    </xf>
    <xf numFmtId="208" fontId="0" fillId="0" borderId="16" xfId="0" applyNumberFormat="1" applyFont="1" applyBorder="1" applyAlignment="1">
      <alignment horizontal="right" vertical="center" wrapText="1"/>
    </xf>
    <xf numFmtId="208" fontId="0" fillId="0" borderId="21" xfId="0" applyNumberFormat="1" applyFont="1" applyBorder="1" applyAlignment="1">
      <alignment horizontal="right" vertical="center" wrapText="1"/>
    </xf>
    <xf numFmtId="208" fontId="0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3" fontId="1" fillId="42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45" borderId="16" xfId="0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1" fillId="45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24" xfId="65" applyNumberFormat="1" applyFont="1" applyBorder="1" applyAlignment="1">
      <alignment horizontal="right"/>
      <protection/>
    </xf>
    <xf numFmtId="3" fontId="0" fillId="0" borderId="24" xfId="65" applyNumberFormat="1" applyFont="1" applyBorder="1" applyAlignment="1">
      <alignment/>
      <protection/>
    </xf>
    <xf numFmtId="3" fontId="0" fillId="0" borderId="16" xfId="65" applyNumberFormat="1" applyFont="1" applyFill="1" applyBorder="1" applyAlignment="1">
      <alignment/>
      <protection/>
    </xf>
    <xf numFmtId="208" fontId="0" fillId="0" borderId="0" xfId="0" applyNumberFormat="1" applyAlignment="1">
      <alignment/>
    </xf>
    <xf numFmtId="0" fontId="126" fillId="0" borderId="0" xfId="0" applyFont="1" applyAlignment="1">
      <alignment horizontal="center" vertical="center"/>
    </xf>
    <xf numFmtId="3" fontId="126" fillId="0" borderId="0" xfId="0" applyNumberFormat="1" applyFont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208" fontId="0" fillId="0" borderId="17" xfId="0" applyNumberFormat="1" applyBorder="1" applyAlignment="1" quotePrefix="1">
      <alignment/>
    </xf>
    <xf numFmtId="208" fontId="0" fillId="0" borderId="16" xfId="0" applyNumberFormat="1" applyBorder="1" applyAlignment="1">
      <alignment/>
    </xf>
    <xf numFmtId="208" fontId="0" fillId="0" borderId="17" xfId="0" applyNumberFormat="1" applyBorder="1" applyAlignment="1">
      <alignment/>
    </xf>
    <xf numFmtId="208" fontId="0" fillId="0" borderId="16" xfId="0" applyNumberFormat="1" applyFill="1" applyBorder="1" applyAlignment="1">
      <alignment/>
    </xf>
    <xf numFmtId="208" fontId="0" fillId="0" borderId="16" xfId="0" applyNumberFormat="1" applyFont="1" applyBorder="1" applyAlignment="1">
      <alignment/>
    </xf>
    <xf numFmtId="208" fontId="0" fillId="0" borderId="17" xfId="0" applyNumberFormat="1" applyFont="1" applyBorder="1" applyAlignment="1">
      <alignment/>
    </xf>
    <xf numFmtId="208" fontId="0" fillId="0" borderId="16" xfId="0" applyNumberFormat="1" applyFont="1" applyFill="1" applyBorder="1" applyAlignment="1">
      <alignment/>
    </xf>
    <xf numFmtId="208" fontId="0" fillId="0" borderId="17" xfId="0" applyNumberFormat="1" applyBorder="1" applyAlignment="1">
      <alignment/>
    </xf>
    <xf numFmtId="208" fontId="0" fillId="0" borderId="16" xfId="0" applyNumberFormat="1" applyFill="1" applyBorder="1" applyAlignment="1">
      <alignment/>
    </xf>
    <xf numFmtId="208" fontId="0" fillId="0" borderId="16" xfId="0" applyNumberFormat="1" applyFont="1" applyBorder="1" applyAlignment="1">
      <alignment/>
    </xf>
    <xf numFmtId="208" fontId="0" fillId="0" borderId="16" xfId="0" applyNumberFormat="1" applyBorder="1" applyAlignment="1">
      <alignment vertical="center"/>
    </xf>
    <xf numFmtId="208" fontId="0" fillId="0" borderId="17" xfId="0" applyNumberFormat="1" applyBorder="1" applyAlignment="1">
      <alignment vertical="center"/>
    </xf>
    <xf numFmtId="208" fontId="0" fillId="0" borderId="16" xfId="0" applyNumberFormat="1" applyFill="1" applyBorder="1" applyAlignment="1">
      <alignment vertical="center"/>
    </xf>
    <xf numFmtId="208" fontId="0" fillId="0" borderId="16" xfId="0" applyNumberFormat="1" applyFont="1" applyBorder="1" applyAlignment="1">
      <alignment vertical="center"/>
    </xf>
    <xf numFmtId="0" fontId="126" fillId="0" borderId="0" xfId="0" applyFont="1" applyAlignment="1">
      <alignment/>
    </xf>
    <xf numFmtId="0" fontId="126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126" fillId="0" borderId="0" xfId="0" applyNumberFormat="1" applyFont="1" applyBorder="1" applyAlignment="1">
      <alignment/>
    </xf>
    <xf numFmtId="3" fontId="128" fillId="0" borderId="16" xfId="0" applyNumberFormat="1" applyFont="1" applyBorder="1" applyAlignment="1">
      <alignment horizontal="center" vertical="center"/>
    </xf>
    <xf numFmtId="3" fontId="129" fillId="42" borderId="16" xfId="0" applyNumberFormat="1" applyFont="1" applyFill="1" applyBorder="1" applyAlignment="1">
      <alignment horizontal="center" vertical="center"/>
    </xf>
    <xf numFmtId="0" fontId="128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46" borderId="16" xfId="0" applyNumberFormat="1" applyFont="1" applyFill="1" applyBorder="1" applyAlignment="1">
      <alignment horizontal="center"/>
    </xf>
    <xf numFmtId="3" fontId="130" fillId="46" borderId="16" xfId="0" applyNumberFormat="1" applyFont="1" applyFill="1" applyBorder="1" applyAlignment="1">
      <alignment/>
    </xf>
    <xf numFmtId="1" fontId="131" fillId="42" borderId="16" xfId="0" applyNumberFormat="1" applyFont="1" applyFill="1" applyBorder="1" applyAlignment="1">
      <alignment/>
    </xf>
    <xf numFmtId="3" fontId="128" fillId="0" borderId="16" xfId="67" applyNumberFormat="1" applyFont="1" applyBorder="1" applyAlignment="1">
      <alignment horizontal="right"/>
      <protection/>
    </xf>
    <xf numFmtId="3" fontId="19" fillId="0" borderId="16" xfId="67" applyNumberFormat="1" applyFont="1" applyBorder="1" applyAlignment="1">
      <alignment horizontal="right"/>
      <protection/>
    </xf>
    <xf numFmtId="3" fontId="0" fillId="0" borderId="16" xfId="67" applyNumberFormat="1" applyFont="1" applyBorder="1" applyAlignment="1">
      <alignment horizontal="right"/>
      <protection/>
    </xf>
    <xf numFmtId="3" fontId="128" fillId="0" borderId="16" xfId="0" applyNumberFormat="1" applyFont="1" applyBorder="1" applyAlignment="1">
      <alignment horizontal="right"/>
    </xf>
    <xf numFmtId="3" fontId="129" fillId="46" borderId="16" xfId="0" applyNumberFormat="1" applyFont="1" applyFill="1" applyBorder="1" applyAlignment="1">
      <alignment horizontal="right"/>
    </xf>
    <xf numFmtId="3" fontId="1" fillId="46" borderId="16" xfId="0" applyNumberFormat="1" applyFont="1" applyFill="1" applyBorder="1" applyAlignment="1">
      <alignment horizontal="right"/>
    </xf>
    <xf numFmtId="3" fontId="128" fillId="0" borderId="16" xfId="67" applyNumberFormat="1" applyFont="1" applyFill="1" applyBorder="1" applyAlignment="1">
      <alignment horizontal="right"/>
      <protection/>
    </xf>
    <xf numFmtId="3" fontId="0" fillId="0" borderId="16" xfId="67" applyNumberFormat="1" applyFont="1" applyFill="1" applyBorder="1" applyAlignment="1">
      <alignment horizontal="right"/>
      <protection/>
    </xf>
    <xf numFmtId="3" fontId="1" fillId="46" borderId="16" xfId="0" applyNumberFormat="1" applyFont="1" applyFill="1" applyBorder="1" applyAlignment="1">
      <alignment/>
    </xf>
    <xf numFmtId="3" fontId="1" fillId="46" borderId="16" xfId="0" applyNumberFormat="1" applyFont="1" applyFill="1" applyBorder="1" applyAlignment="1">
      <alignment/>
    </xf>
    <xf numFmtId="3" fontId="1" fillId="45" borderId="16" xfId="0" applyNumberFormat="1" applyFont="1" applyFill="1" applyBorder="1" applyAlignment="1">
      <alignment/>
    </xf>
    <xf numFmtId="208" fontId="0" fillId="0" borderId="0" xfId="0" applyNumberFormat="1" applyBorder="1" applyAlignment="1">
      <alignment/>
    </xf>
    <xf numFmtId="208" fontId="0" fillId="0" borderId="0" xfId="0" applyNumberFormat="1" applyFill="1" applyBorder="1" applyAlignment="1">
      <alignment/>
    </xf>
    <xf numFmtId="208" fontId="0" fillId="0" borderId="0" xfId="0" applyNumberFormat="1" applyFont="1" applyBorder="1" applyAlignment="1">
      <alignment/>
    </xf>
    <xf numFmtId="208" fontId="126" fillId="0" borderId="0" xfId="0" applyNumberFormat="1" applyFont="1" applyBorder="1" applyAlignment="1">
      <alignment/>
    </xf>
    <xf numFmtId="3" fontId="128" fillId="0" borderId="16" xfId="0" applyNumberFormat="1" applyFont="1" applyBorder="1" applyAlignment="1">
      <alignment/>
    </xf>
    <xf numFmtId="3" fontId="128" fillId="0" borderId="16" xfId="0" applyNumberFormat="1" applyFont="1" applyFill="1" applyBorder="1" applyAlignment="1">
      <alignment/>
    </xf>
    <xf numFmtId="3" fontId="129" fillId="46" borderId="16" xfId="0" applyNumberFormat="1" applyFont="1" applyFill="1" applyBorder="1" applyAlignment="1">
      <alignment/>
    </xf>
    <xf numFmtId="3" fontId="0" fillId="0" borderId="16" xfId="66" applyNumberFormat="1" applyFont="1" applyBorder="1" applyAlignment="1">
      <alignment/>
      <protection/>
    </xf>
    <xf numFmtId="3" fontId="2" fillId="0" borderId="16" xfId="66" applyNumberFormat="1" applyFont="1" applyBorder="1" applyAlignment="1">
      <alignment/>
      <protection/>
    </xf>
    <xf numFmtId="3" fontId="0" fillId="0" borderId="16" xfId="58" applyNumberFormat="1" applyFont="1" applyBorder="1" applyAlignment="1">
      <alignment horizontal="right"/>
    </xf>
    <xf numFmtId="3" fontId="0" fillId="0" borderId="16" xfId="58" applyNumberFormat="1" applyFont="1" applyFill="1" applyBorder="1" applyAlignment="1">
      <alignment horizontal="right"/>
    </xf>
    <xf numFmtId="0" fontId="0" fillId="0" borderId="16" xfId="66" applyFont="1" applyBorder="1">
      <alignment/>
      <protection/>
    </xf>
    <xf numFmtId="0" fontId="128" fillId="0" borderId="16" xfId="66" applyFont="1" applyBorder="1">
      <alignment/>
      <protection/>
    </xf>
    <xf numFmtId="0" fontId="126" fillId="0" borderId="16" xfId="66" applyFont="1" applyBorder="1">
      <alignment/>
      <protection/>
    </xf>
    <xf numFmtId="1" fontId="0" fillId="0" borderId="16" xfId="66" applyNumberFormat="1" applyFont="1" applyBorder="1">
      <alignment/>
      <protection/>
    </xf>
    <xf numFmtId="3" fontId="0" fillId="0" borderId="22" xfId="0" applyNumberFormat="1" applyBorder="1" applyAlignment="1">
      <alignment vertical="center"/>
    </xf>
    <xf numFmtId="0" fontId="132" fillId="45" borderId="16" xfId="0" applyFont="1" applyFill="1" applyBorder="1" applyAlignment="1">
      <alignment horizontal="center"/>
    </xf>
    <xf numFmtId="3" fontId="116" fillId="0" borderId="16" xfId="0" applyNumberFormat="1" applyFont="1" applyBorder="1" applyAlignment="1">
      <alignment/>
    </xf>
    <xf numFmtId="3" fontId="133" fillId="45" borderId="16" xfId="0" applyNumberFormat="1" applyFont="1" applyFill="1" applyBorder="1" applyAlignment="1">
      <alignment/>
    </xf>
    <xf numFmtId="0" fontId="116" fillId="0" borderId="0" xfId="0" applyFont="1" applyAlignment="1">
      <alignment/>
    </xf>
    <xf numFmtId="1" fontId="128" fillId="0" borderId="16" xfId="66" applyNumberFormat="1" applyFont="1" applyBorder="1">
      <alignment/>
      <protection/>
    </xf>
    <xf numFmtId="1" fontId="126" fillId="0" borderId="16" xfId="66" applyNumberFormat="1" applyFont="1" applyBorder="1">
      <alignment/>
      <protection/>
    </xf>
    <xf numFmtId="3" fontId="0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7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right"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7" fillId="0" borderId="2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1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5" fillId="45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130" fillId="0" borderId="16" xfId="0" applyNumberFormat="1" applyFont="1" applyBorder="1" applyAlignment="1">
      <alignment horizontal="center"/>
    </xf>
    <xf numFmtId="0" fontId="126" fillId="0" borderId="0" xfId="0" applyFont="1" applyAlignment="1">
      <alignment/>
    </xf>
    <xf numFmtId="3" fontId="126" fillId="0" borderId="0" xfId="0" applyNumberFormat="1" applyFont="1" applyBorder="1" applyAlignment="1">
      <alignment/>
    </xf>
    <xf numFmtId="3" fontId="128" fillId="0" borderId="16" xfId="0" applyNumberFormat="1" applyFont="1" applyBorder="1" applyAlignment="1">
      <alignment horizontal="center" vertical="center"/>
    </xf>
    <xf numFmtId="3" fontId="129" fillId="42" borderId="16" xfId="0" applyNumberFormat="1" applyFont="1" applyFill="1" applyBorder="1" applyAlignment="1">
      <alignment horizontal="center" vertical="center"/>
    </xf>
    <xf numFmtId="0" fontId="128" fillId="0" borderId="16" xfId="0" applyFont="1" applyBorder="1" applyAlignment="1">
      <alignment horizontal="center" vertical="center"/>
    </xf>
    <xf numFmtId="0" fontId="5" fillId="46" borderId="16" xfId="0" applyNumberFormat="1" applyFont="1" applyFill="1" applyBorder="1" applyAlignment="1">
      <alignment horizontal="center"/>
    </xf>
    <xf numFmtId="3" fontId="1" fillId="46" borderId="16" xfId="0" applyNumberFormat="1" applyFont="1" applyFill="1" applyBorder="1" applyAlignment="1">
      <alignment/>
    </xf>
    <xf numFmtId="208" fontId="126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3" fontId="1" fillId="46" borderId="16" xfId="0" applyNumberFormat="1" applyFont="1" applyFill="1" applyBorder="1" applyAlignment="1">
      <alignment/>
    </xf>
    <xf numFmtId="3" fontId="1" fillId="46" borderId="16" xfId="0" applyNumberFormat="1" applyFont="1" applyFill="1" applyBorder="1" applyAlignment="1">
      <alignment/>
    </xf>
    <xf numFmtId="3" fontId="1" fillId="46" borderId="16" xfId="0" applyNumberFormat="1" applyFont="1" applyFill="1" applyBorder="1" applyAlignment="1">
      <alignment horizontal="right"/>
    </xf>
    <xf numFmtId="3" fontId="19" fillId="0" borderId="16" xfId="67" applyNumberFormat="1" applyFont="1" applyFill="1" applyBorder="1" applyAlignment="1">
      <alignment horizontal="right"/>
      <protection/>
    </xf>
    <xf numFmtId="3" fontId="0" fillId="0" borderId="16" xfId="0" applyNumberFormat="1" applyFont="1" applyFill="1" applyBorder="1" applyAlignment="1">
      <alignment horizontal="right"/>
    </xf>
    <xf numFmtId="3" fontId="126" fillId="0" borderId="16" xfId="0" applyNumberFormat="1" applyFont="1" applyBorder="1" applyAlignment="1">
      <alignment/>
    </xf>
    <xf numFmtId="3" fontId="126" fillId="0" borderId="16" xfId="0" applyNumberFormat="1" applyFont="1" applyBorder="1" applyAlignment="1">
      <alignment/>
    </xf>
    <xf numFmtId="3" fontId="126" fillId="0" borderId="16" xfId="0" applyNumberFormat="1" applyFont="1" applyBorder="1" applyAlignment="1">
      <alignment/>
    </xf>
    <xf numFmtId="3" fontId="1" fillId="45" borderId="16" xfId="0" applyNumberFormat="1" applyFont="1" applyFill="1" applyBorder="1" applyAlignment="1">
      <alignment/>
    </xf>
    <xf numFmtId="3" fontId="133" fillId="45" borderId="16" xfId="0" applyNumberFormat="1" applyFont="1" applyFill="1" applyBorder="1" applyAlignment="1">
      <alignment/>
    </xf>
    <xf numFmtId="3" fontId="126" fillId="0" borderId="16" xfId="0" applyNumberFormat="1" applyFont="1" applyBorder="1" applyAlignment="1">
      <alignment/>
    </xf>
    <xf numFmtId="0" fontId="5" fillId="45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2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3" fontId="128" fillId="0" borderId="22" xfId="0" applyNumberFormat="1" applyFont="1" applyBorder="1" applyAlignment="1">
      <alignment horizontal="center" vertical="center"/>
    </xf>
    <xf numFmtId="3" fontId="128" fillId="0" borderId="21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42" borderId="17" xfId="0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3" fontId="19" fillId="0" borderId="22" xfId="67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19" fillId="0" borderId="22" xfId="67" applyFont="1" applyBorder="1" applyAlignment="1">
      <alignment horizontal="center" vertical="center"/>
      <protection/>
    </xf>
    <xf numFmtId="0" fontId="19" fillId="0" borderId="21" xfId="67" applyFont="1" applyBorder="1" applyAlignment="1">
      <alignment horizontal="center" vertical="center"/>
      <protection/>
    </xf>
    <xf numFmtId="3" fontId="128" fillId="0" borderId="22" xfId="67" applyNumberFormat="1" applyFont="1" applyBorder="1" applyAlignment="1">
      <alignment horizontal="right" vertical="center"/>
      <protection/>
    </xf>
    <xf numFmtId="0" fontId="0" fillId="0" borderId="21" xfId="0" applyFont="1" applyBorder="1" applyAlignment="1">
      <alignment/>
    </xf>
    <xf numFmtId="1" fontId="0" fillId="0" borderId="22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2 2" xfId="36"/>
    <cellStyle name="Accent3" xfId="37"/>
    <cellStyle name="Accent3 2" xfId="38"/>
    <cellStyle name="Accent4" xfId="39"/>
    <cellStyle name="Accent4 2" xfId="40"/>
    <cellStyle name="Accent5" xfId="41"/>
    <cellStyle name="Accent5 2" xfId="42"/>
    <cellStyle name="Accent6" xfId="43"/>
    <cellStyle name="Accent6 2" xfId="44"/>
    <cellStyle name="Avertissement" xfId="45"/>
    <cellStyle name="Avertissement 2" xfId="46"/>
    <cellStyle name="Calcul" xfId="47"/>
    <cellStyle name="Calcul 2" xfId="48"/>
    <cellStyle name="Cellule liée" xfId="49"/>
    <cellStyle name="Cellule liée 2" xfId="50"/>
    <cellStyle name="Commentaire" xfId="51"/>
    <cellStyle name="Commentaire 2" xfId="52"/>
    <cellStyle name="Entrée" xfId="53"/>
    <cellStyle name="Entrée 2" xfId="54"/>
    <cellStyle name="Insatisfaisant" xfId="55"/>
    <cellStyle name="Hyperlink" xfId="56"/>
    <cellStyle name="Followed Hyperlink" xfId="57"/>
    <cellStyle name="Comma" xfId="58"/>
    <cellStyle name="Comma [0]" xfId="59"/>
    <cellStyle name="Milliers [0] 2" xfId="60"/>
    <cellStyle name="Milliers [0] 2 2" xfId="61"/>
    <cellStyle name="Currency" xfId="62"/>
    <cellStyle name="Currency [0]" xfId="63"/>
    <cellStyle name="Neutre" xfId="64"/>
    <cellStyle name="Normal 2" xfId="65"/>
    <cellStyle name="Normal 2 2" xfId="66"/>
    <cellStyle name="Normal 3" xfId="67"/>
    <cellStyle name="Normal 4" xfId="68"/>
    <cellStyle name="Normal 8" xfId="69"/>
    <cellStyle name="Percent" xfId="70"/>
    <cellStyle name="Pourcentage 2" xfId="71"/>
    <cellStyle name="Satisfaisant" xfId="72"/>
    <cellStyle name="Sortie" xfId="73"/>
    <cellStyle name="Sortie 2" xfId="74"/>
    <cellStyle name="Texte explicatif" xfId="75"/>
    <cellStyle name="Titre" xfId="76"/>
    <cellStyle name="Titre 1" xfId="77"/>
    <cellStyle name="Titre 2" xfId="78"/>
    <cellStyle name="Titre 3" xfId="79"/>
    <cellStyle name="Titre 4" xfId="80"/>
    <cellStyle name="Total" xfId="81"/>
    <cellStyle name="Vérificatio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chartsheet" Target="chartsheets/sheet7.xml" /><Relationship Id="rId21" Type="http://schemas.openxmlformats.org/officeDocument/2006/relationships/chartsheet" Target="chartsheets/sheet8.xml" /><Relationship Id="rId22" Type="http://schemas.openxmlformats.org/officeDocument/2006/relationships/chartsheet" Target="chartsheets/sheet9.xml" /><Relationship Id="rId23" Type="http://schemas.openxmlformats.org/officeDocument/2006/relationships/chartsheet" Target="chartsheets/sheet10.xml" /><Relationship Id="rId24" Type="http://schemas.openxmlformats.org/officeDocument/2006/relationships/chartsheet" Target="chartsheets/sheet11.xml" /><Relationship Id="rId25" Type="http://schemas.openxmlformats.org/officeDocument/2006/relationships/chartsheet" Target="chartsheets/sheet12.xml" /><Relationship Id="rId26" Type="http://schemas.openxmlformats.org/officeDocument/2006/relationships/chartsheet" Target="chartsheets/sheet13.xml" /><Relationship Id="rId27" Type="http://schemas.openxmlformats.org/officeDocument/2006/relationships/chartsheet" Target="chartsheets/sheet14.xml" /><Relationship Id="rId28" Type="http://schemas.openxmlformats.org/officeDocument/2006/relationships/chartsheet" Target="chartsheets/sheet15.xml" /><Relationship Id="rId29" Type="http://schemas.openxmlformats.org/officeDocument/2006/relationships/chartsheet" Target="chartsheets/sheet16.xml" /><Relationship Id="rId30" Type="http://schemas.openxmlformats.org/officeDocument/2006/relationships/chartsheet" Target="chartsheets/sheet17.xml" /><Relationship Id="rId31" Type="http://schemas.openxmlformats.org/officeDocument/2006/relationships/chartsheet" Target="chartsheets/sheet18.xml" /><Relationship Id="rId32" Type="http://schemas.openxmlformats.org/officeDocument/2006/relationships/chartsheet" Target="chartsheets/sheet19.xml" /><Relationship Id="rId33" Type="http://schemas.openxmlformats.org/officeDocument/2006/relationships/chartsheet" Target="chartsheets/sheet20.xml" /><Relationship Id="rId34" Type="http://schemas.openxmlformats.org/officeDocument/2006/relationships/chartsheet" Target="chartsheets/sheet21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chartsheet" Target="chartsheets/sheet25.xml" /><Relationship Id="rId39" Type="http://schemas.openxmlformats.org/officeDocument/2006/relationships/worksheet" Target="worksheets/sheet14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worksheet" Target="worksheets/sheet16.xml" /><Relationship Id="rId44" Type="http://schemas.openxmlformats.org/officeDocument/2006/relationships/worksheet" Target="worksheets/sheet17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Dactyle : évolution des superficies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725"/>
          <c:w val="0.844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Feuil1!$A$13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Feuil1!$B$1:$N$1</c:f>
              <c:numCache>
                <c:ptCount val="13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Feuil1!$B$13:$N$13</c:f>
              <c:numCache>
                <c:ptCount val="13"/>
                <c:pt idx="0">
                  <c:v>1920</c:v>
                </c:pt>
                <c:pt idx="1">
                  <c:v>2264</c:v>
                </c:pt>
                <c:pt idx="2">
                  <c:v>2935</c:v>
                </c:pt>
                <c:pt idx="3">
                  <c:v>3495</c:v>
                </c:pt>
                <c:pt idx="4">
                  <c:v>3365</c:v>
                </c:pt>
                <c:pt idx="5">
                  <c:v>2462</c:v>
                </c:pt>
                <c:pt idx="6">
                  <c:v>1921</c:v>
                </c:pt>
                <c:pt idx="7">
                  <c:v>2158</c:v>
                </c:pt>
                <c:pt idx="8">
                  <c:v>2875</c:v>
                </c:pt>
                <c:pt idx="9">
                  <c:v>3207</c:v>
                </c:pt>
                <c:pt idx="10">
                  <c:v>3720</c:v>
                </c:pt>
                <c:pt idx="11">
                  <c:v>3929</c:v>
                </c:pt>
                <c:pt idx="12">
                  <c:v>3691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Feuil1!$A$14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Feuil1!$B$1:$N$1</c:f>
              <c:numCache>
                <c:ptCount val="13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Feuil1!$B$14:$N$14</c:f>
              <c:numCache>
                <c:ptCount val="13"/>
                <c:pt idx="0">
                  <c:v>2448</c:v>
                </c:pt>
                <c:pt idx="1">
                  <c:v>2494</c:v>
                </c:pt>
                <c:pt idx="2">
                  <c:v>2658</c:v>
                </c:pt>
                <c:pt idx="3">
                  <c:v>3020</c:v>
                </c:pt>
                <c:pt idx="4">
                  <c:v>2923</c:v>
                </c:pt>
                <c:pt idx="5">
                  <c:v>3619</c:v>
                </c:pt>
                <c:pt idx="6">
                  <c:v>3769</c:v>
                </c:pt>
                <c:pt idx="7">
                  <c:v>3491</c:v>
                </c:pt>
                <c:pt idx="8">
                  <c:v>2662</c:v>
                </c:pt>
                <c:pt idx="9">
                  <c:v>2207</c:v>
                </c:pt>
                <c:pt idx="10">
                  <c:v>3255</c:v>
                </c:pt>
                <c:pt idx="11">
                  <c:v>4563</c:v>
                </c:pt>
                <c:pt idx="12">
                  <c:v>5312</c:v>
                </c:pt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ha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0350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"/>
          <c:y val="0.4965"/>
          <c:w val="0.103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cocksfoot seed area / dactyle</a:t>
            </a:r>
          </a:p>
        </c:rich>
      </c:tx>
      <c:layout>
        <c:manualLayout>
          <c:xMode val="factor"/>
          <c:yMode val="factor"/>
          <c:x val="0.03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725"/>
          <c:w val="0.9522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données!$A$67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66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155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données!$Q$66:$W$66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données!$Q$67:$V$67</c:f>
              <c:numCache>
                <c:ptCount val="6"/>
                <c:pt idx="0">
                  <c:v>130</c:v>
                </c:pt>
                <c:pt idx="1">
                  <c:v>170</c:v>
                </c:pt>
                <c:pt idx="2">
                  <c:v>138</c:v>
                </c:pt>
                <c:pt idx="3">
                  <c:v>148</c:v>
                </c:pt>
                <c:pt idx="4">
                  <c:v>179</c:v>
                </c:pt>
                <c:pt idx="5">
                  <c:v>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données!$A$68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2 116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2 815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données!$Q$66:$W$66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données!$Q$68:$V$68</c:f>
              <c:numCache>
                <c:ptCount val="6"/>
                <c:pt idx="0">
                  <c:v>953</c:v>
                </c:pt>
                <c:pt idx="1">
                  <c:v>1408</c:v>
                </c:pt>
                <c:pt idx="2">
                  <c:v>2098</c:v>
                </c:pt>
                <c:pt idx="3">
                  <c:v>2815</c:v>
                </c:pt>
                <c:pt idx="4">
                  <c:v>4262</c:v>
                </c:pt>
                <c:pt idx="5">
                  <c:v>4898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données!$A$69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3 240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1 641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1 760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données!$Q$66:$W$66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données!$Q$69:$W$69</c:f>
              <c:numCache>
                <c:ptCount val="7"/>
                <c:pt idx="0">
                  <c:v>1699</c:v>
                </c:pt>
                <c:pt idx="1">
                  <c:v>2027</c:v>
                </c:pt>
                <c:pt idx="2">
                  <c:v>2052</c:v>
                </c:pt>
                <c:pt idx="3">
                  <c:v>1641</c:v>
                </c:pt>
                <c:pt idx="4">
                  <c:v>1745</c:v>
                </c:pt>
                <c:pt idx="5">
                  <c:v>1883</c:v>
                </c:pt>
                <c:pt idx="6">
                  <c:v>2203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données!$A$71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données!$Q$66:$W$66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données!$Q$71:$W$71</c:f>
              <c:numCache>
                <c:ptCount val="7"/>
                <c:pt idx="0">
                  <c:v>148</c:v>
                </c:pt>
                <c:pt idx="1">
                  <c:v>159</c:v>
                </c:pt>
                <c:pt idx="2">
                  <c:v>135</c:v>
                </c:pt>
                <c:pt idx="3">
                  <c:v>127</c:v>
                </c:pt>
                <c:pt idx="4">
                  <c:v>235.8</c:v>
                </c:pt>
                <c:pt idx="5">
                  <c:v>333.4</c:v>
                </c:pt>
                <c:pt idx="6">
                  <c:v>459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données!$A$72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272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données!$Q$66:$W$66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données!$Q$72:$W$72</c:f>
              <c:numCache>
                <c:ptCount val="7"/>
                <c:pt idx="0">
                  <c:v>100</c:v>
                </c:pt>
                <c:pt idx="1">
                  <c:v>90</c:v>
                </c:pt>
                <c:pt idx="2">
                  <c:v>30.4</c:v>
                </c:pt>
                <c:pt idx="3">
                  <c:v>40.6</c:v>
                </c:pt>
                <c:pt idx="4">
                  <c:v>42.3</c:v>
                </c:pt>
                <c:pt idx="5">
                  <c:v>97.5</c:v>
                </c:pt>
                <c:pt idx="6">
                  <c:v>55.2</c:v>
                </c:pt>
              </c:numCache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 val="autoZero"/>
        <c:auto val="1"/>
        <c:lblOffset val="800"/>
        <c:tickLblSkip val="1"/>
        <c:noMultiLvlLbl val="0"/>
      </c:catAx>
      <c:valAx>
        <c:axId val="52146601"/>
        <c:scaling>
          <c:orientation val="minMax"/>
          <c:min val="-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0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3688"/>
        <c:crossesAt val="1"/>
        <c:crossBetween val="between"/>
        <c:dispUnits/>
        <c:majorUnit val="1000"/>
      </c:valAx>
      <c:spPr>
        <a:solidFill>
          <a:srgbClr val="FFFFC0"/>
        </a:solidFill>
        <a:ln w="3175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68"/>
          <c:y val="0.9205"/>
          <c:w val="0.597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phleum seed areas / fléole</a:t>
            </a:r>
          </a:p>
        </c:rich>
      </c:tx>
      <c:layout>
        <c:manualLayout>
          <c:xMode val="factor"/>
          <c:yMode val="factor"/>
          <c:x val="0.03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075"/>
          <c:w val="0.921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données!$A$77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975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données!$Q$76:$W$76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données!$Q$77:$V$77</c:f>
              <c:numCache>
                <c:ptCount val="6"/>
                <c:pt idx="0">
                  <c:v>954</c:v>
                </c:pt>
                <c:pt idx="1">
                  <c:v>1099</c:v>
                </c:pt>
                <c:pt idx="2">
                  <c:v>1004</c:v>
                </c:pt>
                <c:pt idx="3">
                  <c:v>894</c:v>
                </c:pt>
                <c:pt idx="4">
                  <c:v>900</c:v>
                </c:pt>
                <c:pt idx="5">
                  <c:v>980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données!$A$78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541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données!$Q$76:$W$76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données!$Q$78:$V$78</c:f>
              <c:numCache>
                <c:ptCount val="6"/>
                <c:pt idx="0">
                  <c:v>374</c:v>
                </c:pt>
                <c:pt idx="1">
                  <c:v>254</c:v>
                </c:pt>
                <c:pt idx="2">
                  <c:v>336</c:v>
                </c:pt>
                <c:pt idx="3">
                  <c:v>541</c:v>
                </c:pt>
                <c:pt idx="4">
                  <c:v>372</c:v>
                </c:pt>
                <c:pt idx="5">
                  <c:v>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données!$A$79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8080"/>
                        </a:solidFill>
                        <a:latin typeface="Arial"/>
                        <a:ea typeface="Arial"/>
                        <a:cs typeface="Arial"/>
                      </a:rPr>
                      <a:t>4 805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données!$Q$76:$W$76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données!$Q$79:$W$79</c:f>
              <c:numCache>
                <c:ptCount val="7"/>
                <c:pt idx="0">
                  <c:v>3970</c:v>
                </c:pt>
                <c:pt idx="1">
                  <c:v>3981</c:v>
                </c:pt>
                <c:pt idx="2">
                  <c:v>4660</c:v>
                </c:pt>
                <c:pt idx="3">
                  <c:v>4805</c:v>
                </c:pt>
                <c:pt idx="4">
                  <c:v>5290.8</c:v>
                </c:pt>
                <c:pt idx="5">
                  <c:v>4478.5</c:v>
                </c:pt>
                <c:pt idx="6">
                  <c:v>4308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données!$A$80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rPr>
                      <a:t>6 908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données!$Q$76:$W$76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données!$Q$80:$V$80</c:f>
              <c:numCache>
                <c:ptCount val="6"/>
                <c:pt idx="0">
                  <c:v>6260</c:v>
                </c:pt>
                <c:pt idx="1">
                  <c:v>6148.340000000001</c:v>
                </c:pt>
                <c:pt idx="2">
                  <c:v>5937</c:v>
                </c:pt>
                <c:pt idx="3">
                  <c:v>6908</c:v>
                </c:pt>
                <c:pt idx="4">
                  <c:v>7773</c:v>
                </c:pt>
                <c:pt idx="5">
                  <c:v>7964</c:v>
                </c:pt>
              </c:numCache>
            </c:numRef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622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4"/>
          <c:y val="0.941"/>
          <c:w val="0.512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bluegrass seed area / paturin</a:t>
            </a:r>
          </a:p>
        </c:rich>
      </c:tx>
      <c:layout>
        <c:manualLayout>
          <c:xMode val="factor"/>
          <c:yMode val="factor"/>
          <c:x val="0.03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075"/>
          <c:w val="0.90125"/>
          <c:h val="0.821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données!$A$85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données!$Q$83:$W$83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données!$Q$85:$V$85</c:f>
              <c:numCache>
                <c:ptCount val="6"/>
                <c:pt idx="0">
                  <c:v>181</c:v>
                </c:pt>
                <c:pt idx="1">
                  <c:v>149</c:v>
                </c:pt>
                <c:pt idx="2">
                  <c:v>154</c:v>
                </c:pt>
                <c:pt idx="3">
                  <c:v>122</c:v>
                </c:pt>
                <c:pt idx="4">
                  <c:v>57</c:v>
                </c:pt>
                <c:pt idx="5">
                  <c:v>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données!$A$86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données!$Q$83:$W$83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données!$Q$86:$V$86</c:f>
              <c:numCache>
                <c:ptCount val="6"/>
                <c:pt idx="0">
                  <c:v>7036</c:v>
                </c:pt>
                <c:pt idx="1">
                  <c:v>5937</c:v>
                </c:pt>
                <c:pt idx="2">
                  <c:v>5482</c:v>
                </c:pt>
                <c:pt idx="3">
                  <c:v>5839</c:v>
                </c:pt>
                <c:pt idx="4">
                  <c:v>7009</c:v>
                </c:pt>
                <c:pt idx="5">
                  <c:v>7928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données!$A$87</c:f>
              <c:strCache>
                <c:ptCount val="1"/>
                <c:pt idx="0">
                  <c:v>Netherland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3300"/>
                        </a:solidFill>
                        <a:latin typeface="Arial"/>
                        <a:ea typeface="Arial"/>
                        <a:cs typeface="Arial"/>
                      </a:rPr>
                      <a:t>330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données!$Q$83:$W$83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données!$Q$87:$U$87</c:f>
              <c:numCache>
                <c:ptCount val="5"/>
                <c:pt idx="0">
                  <c:v>562</c:v>
                </c:pt>
                <c:pt idx="1">
                  <c:v>467</c:v>
                </c:pt>
                <c:pt idx="2">
                  <c:v>424</c:v>
                </c:pt>
                <c:pt idx="3">
                  <c:v>330</c:v>
                </c:pt>
                <c:pt idx="4">
                  <c:v>333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données!$A$88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données!$Q$83:$W$83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données!$Q$88:$W$88</c:f>
              <c:numCache>
                <c:ptCount val="7"/>
                <c:pt idx="0">
                  <c:v>408</c:v>
                </c:pt>
                <c:pt idx="1">
                  <c:v>335</c:v>
                </c:pt>
                <c:pt idx="2">
                  <c:v>348</c:v>
                </c:pt>
                <c:pt idx="3">
                  <c:v>253</c:v>
                </c:pt>
                <c:pt idx="4">
                  <c:v>228.3</c:v>
                </c:pt>
                <c:pt idx="5">
                  <c:v>328.8</c:v>
                </c:pt>
                <c:pt idx="6">
                  <c:v>495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données!$A$84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données!$Q$83:$W$83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données!$Q$84:$W$84</c:f>
              <c:numCache>
                <c:ptCount val="7"/>
                <c:pt idx="0">
                  <c:v>185</c:v>
                </c:pt>
                <c:pt idx="1">
                  <c:v>104.82</c:v>
                </c:pt>
                <c:pt idx="2">
                  <c:v>72</c:v>
                </c:pt>
                <c:pt idx="3">
                  <c:v>75</c:v>
                </c:pt>
                <c:pt idx="4">
                  <c:v>77</c:v>
                </c:pt>
                <c:pt idx="5">
                  <c:v>82</c:v>
                </c:pt>
                <c:pt idx="6">
                  <c:v>79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3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6CAF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5196"/>
        <c:crossesAt val="1"/>
        <c:crossBetween val="between"/>
        <c:dispUnits/>
        <c:majorUnit val="1000"/>
        <c:minorUnit val="300"/>
      </c:valAx>
      <c:spPr>
        <a:solidFill>
          <a:srgbClr val="FFFFCC"/>
        </a:solidFill>
        <a:ln w="3175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21125"/>
          <c:y val="0.931"/>
          <c:w val="0.487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red fescue seed area : fétuque rouge</a:t>
            </a:r>
          </a:p>
        </c:rich>
      </c:tx>
      <c:layout>
        <c:manualLayout>
          <c:xMode val="factor"/>
          <c:yMode val="factor"/>
          <c:x val="0.03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975"/>
          <c:w val="0.9297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données!$A$93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3300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données!$Q$92:$W$92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données!$Q$93:$W$93</c:f>
              <c:numCache>
                <c:ptCount val="7"/>
                <c:pt idx="0">
                  <c:v>24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37</c:v>
                </c:pt>
                <c:pt idx="5">
                  <c:v>32</c:v>
                </c:pt>
                <c:pt idx="6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données!$A$94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424242"/>
                </a:solidFill>
              </a:ln>
            </c:spPr>
          </c:marker>
          <c:cat>
            <c:strRef>
              <c:f>données!$Q$92:$W$92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données!$Q$94:$V$94</c:f>
              <c:numCache>
                <c:ptCount val="6"/>
                <c:pt idx="0">
                  <c:v>1302</c:v>
                </c:pt>
                <c:pt idx="1">
                  <c:v>1478</c:v>
                </c:pt>
                <c:pt idx="2">
                  <c:v>1304</c:v>
                </c:pt>
                <c:pt idx="3">
                  <c:v>1142</c:v>
                </c:pt>
                <c:pt idx="4">
                  <c:v>1575</c:v>
                </c:pt>
                <c:pt idx="5">
                  <c:v>1609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données!$A$95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808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données!$Q$92:$W$92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données!$Q$95:$V$95</c:f>
              <c:numCache>
                <c:ptCount val="6"/>
                <c:pt idx="0">
                  <c:v>15111</c:v>
                </c:pt>
                <c:pt idx="1">
                  <c:v>17919</c:v>
                </c:pt>
                <c:pt idx="2">
                  <c:v>17827</c:v>
                </c:pt>
                <c:pt idx="3">
                  <c:v>16881</c:v>
                </c:pt>
                <c:pt idx="4">
                  <c:v>17771</c:v>
                </c:pt>
                <c:pt idx="5">
                  <c:v>17958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données!$A$96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données!$Q$92:$W$92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données!$Q$96:$W$96</c:f>
              <c:numCache>
                <c:ptCount val="7"/>
                <c:pt idx="0">
                  <c:v>1181</c:v>
                </c:pt>
                <c:pt idx="1">
                  <c:v>1080</c:v>
                </c:pt>
                <c:pt idx="2">
                  <c:v>843</c:v>
                </c:pt>
                <c:pt idx="3">
                  <c:v>824</c:v>
                </c:pt>
                <c:pt idx="4">
                  <c:v>750</c:v>
                </c:pt>
                <c:pt idx="5">
                  <c:v>893</c:v>
                </c:pt>
                <c:pt idx="6">
                  <c:v>1006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données!$A$98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données!$Q$92:$W$92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données!$Q$98:$W$98</c:f>
              <c:numCache>
                <c:ptCount val="7"/>
                <c:pt idx="0">
                  <c:v>1624</c:v>
                </c:pt>
                <c:pt idx="1">
                  <c:v>1766</c:v>
                </c:pt>
                <c:pt idx="2">
                  <c:v>1693</c:v>
                </c:pt>
                <c:pt idx="3">
                  <c:v>1973</c:v>
                </c:pt>
                <c:pt idx="4">
                  <c:v>1876.7</c:v>
                </c:pt>
                <c:pt idx="5">
                  <c:v>2436.2</c:v>
                </c:pt>
                <c:pt idx="6">
                  <c:v>2833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données!$A$99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données!$Q$92:$W$92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données!$Q$99:$W$99</c:f>
              <c:numCache>
                <c:ptCount val="7"/>
                <c:pt idx="0">
                  <c:v>246</c:v>
                </c:pt>
                <c:pt idx="1">
                  <c:v>179</c:v>
                </c:pt>
                <c:pt idx="2">
                  <c:v>253</c:v>
                </c:pt>
                <c:pt idx="3">
                  <c:v>264.3</c:v>
                </c:pt>
                <c:pt idx="4">
                  <c:v>358</c:v>
                </c:pt>
                <c:pt idx="5">
                  <c:v>496</c:v>
                </c:pt>
                <c:pt idx="6">
                  <c:v>449.3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données!$A$97</c:f>
              <c:strCache>
                <c:ptCount val="1"/>
                <c:pt idx="0">
                  <c:v>Netherland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données!$Q$92:$W$92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données!$Q$97:$U$97</c:f>
              <c:numCache>
                <c:ptCount val="5"/>
                <c:pt idx="0">
                  <c:v>376</c:v>
                </c:pt>
                <c:pt idx="1">
                  <c:v>202</c:v>
                </c:pt>
                <c:pt idx="2">
                  <c:v>180</c:v>
                </c:pt>
                <c:pt idx="3">
                  <c:v>193</c:v>
                </c:pt>
                <c:pt idx="4">
                  <c:v>309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3079"/>
        <c:crosses val="autoZero"/>
        <c:auto val="1"/>
        <c:lblOffset val="500"/>
        <c:tickLblSkip val="1"/>
        <c:noMultiLvlLbl val="0"/>
      </c:catAx>
      <c:valAx>
        <c:axId val="35133079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2918"/>
        <c:crossesAt val="1"/>
        <c:crossBetween val="between"/>
        <c:dispUnits/>
        <c:majorUnit val="8000"/>
      </c:valAx>
      <c:spPr>
        <a:solidFill>
          <a:srgbClr val="FFFFC0"/>
        </a:solidFill>
        <a:ln w="3175">
          <a:noFill/>
        </a:ln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.07425"/>
          <c:y val="0.9305"/>
          <c:w val="0.680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meadow fescue seed area : fétuque des prés</a:t>
            </a:r>
          </a:p>
        </c:rich>
      </c:tx>
      <c:layout>
        <c:manualLayout>
          <c:xMode val="factor"/>
          <c:yMode val="factor"/>
          <c:x val="0.05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025"/>
          <c:w val="0.9432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données!$A$103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données!$Q$102:$W$102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données!$Q$103:$V$103</c:f>
              <c:numCache>
                <c:ptCount val="6"/>
                <c:pt idx="0">
                  <c:v>1500</c:v>
                </c:pt>
                <c:pt idx="1">
                  <c:v>1812</c:v>
                </c:pt>
                <c:pt idx="2">
                  <c:v>1495</c:v>
                </c:pt>
                <c:pt idx="3">
                  <c:v>2025</c:v>
                </c:pt>
                <c:pt idx="4">
                  <c:v>2205</c:v>
                </c:pt>
                <c:pt idx="5">
                  <c:v>2115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données!$A$104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données!$Q$102:$W$102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données!$Q$104:$V$104</c:f>
              <c:numCache>
                <c:ptCount val="6"/>
                <c:pt idx="0">
                  <c:v>257</c:v>
                </c:pt>
                <c:pt idx="1">
                  <c:v>263</c:v>
                </c:pt>
                <c:pt idx="2">
                  <c:v>225</c:v>
                </c:pt>
                <c:pt idx="3">
                  <c:v>676</c:v>
                </c:pt>
                <c:pt idx="4">
                  <c:v>514</c:v>
                </c:pt>
                <c:pt idx="5">
                  <c:v>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données!$A$105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données!$Q$102:$W$102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données!$Q$105:$W$105</c:f>
              <c:numCache>
                <c:ptCount val="7"/>
                <c:pt idx="0">
                  <c:v>1295</c:v>
                </c:pt>
                <c:pt idx="1">
                  <c:v>1423</c:v>
                </c:pt>
                <c:pt idx="2">
                  <c:v>1527</c:v>
                </c:pt>
                <c:pt idx="3">
                  <c:v>1757</c:v>
                </c:pt>
                <c:pt idx="4">
                  <c:v>2280.2</c:v>
                </c:pt>
                <c:pt idx="5">
                  <c:v>2346.9</c:v>
                </c:pt>
                <c:pt idx="6">
                  <c:v>2098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données!$A$106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CCFF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données!$Q$102:$W$102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données!$Q$106:$V$106</c:f>
              <c:numCache>
                <c:ptCount val="6"/>
                <c:pt idx="0">
                  <c:v>1105</c:v>
                </c:pt>
                <c:pt idx="1">
                  <c:v>1098.02</c:v>
                </c:pt>
                <c:pt idx="2">
                  <c:v>1113</c:v>
                </c:pt>
                <c:pt idx="3">
                  <c:v>1258</c:v>
                </c:pt>
                <c:pt idx="4">
                  <c:v>1569</c:v>
                </c:pt>
                <c:pt idx="5">
                  <c:v>1617</c:v>
                </c:pt>
              </c:numCache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2256"/>
        <c:crossesAt val="1"/>
        <c:crossBetween val="between"/>
        <c:dispUnits/>
        <c:majorUnit val="15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25"/>
          <c:y val="0.91825"/>
          <c:w val="0.819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tall fescue seed areas / fétuque élevée</a:t>
            </a:r>
          </a:p>
        </c:rich>
      </c:tx>
      <c:layout>
        <c:manualLayout>
          <c:xMode val="factor"/>
          <c:yMode val="factor"/>
          <c:x val="0.05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15"/>
          <c:w val="0.930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données!$A$110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4 386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données!$Q$109:$W$109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données!$Q$110:$V$110</c:f>
              <c:numCache>
                <c:ptCount val="6"/>
                <c:pt idx="0">
                  <c:v>2494</c:v>
                </c:pt>
                <c:pt idx="1">
                  <c:v>3792</c:v>
                </c:pt>
                <c:pt idx="2">
                  <c:v>4232</c:v>
                </c:pt>
                <c:pt idx="3">
                  <c:v>4386</c:v>
                </c:pt>
                <c:pt idx="4">
                  <c:v>3676</c:v>
                </c:pt>
                <c:pt idx="5">
                  <c:v>5911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données!$A$111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1 996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données!$Q$109:$W$109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données!$Q$111:$W$111</c:f>
              <c:numCache>
                <c:ptCount val="7"/>
                <c:pt idx="0">
                  <c:v>2432</c:v>
                </c:pt>
                <c:pt idx="1">
                  <c:v>2150</c:v>
                </c:pt>
                <c:pt idx="2">
                  <c:v>1964</c:v>
                </c:pt>
                <c:pt idx="3">
                  <c:v>1996</c:v>
                </c:pt>
                <c:pt idx="4">
                  <c:v>1875</c:v>
                </c:pt>
                <c:pt idx="5">
                  <c:v>2325</c:v>
                </c:pt>
                <c:pt idx="6">
                  <c:v>2203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données!$A$112</c:f>
              <c:strCache>
                <c:ptCount val="1"/>
                <c:pt idx="0">
                  <c:v>Netherland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rPr>
                      <a:t>1 721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données!$Q$109:$W$109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données!$Q$112:$U$112</c:f>
              <c:numCache>
                <c:ptCount val="5"/>
                <c:pt idx="0">
                  <c:v>768</c:v>
                </c:pt>
                <c:pt idx="1">
                  <c:v>972</c:v>
                </c:pt>
                <c:pt idx="2">
                  <c:v>1129</c:v>
                </c:pt>
                <c:pt idx="3">
                  <c:v>1315</c:v>
                </c:pt>
                <c:pt idx="4">
                  <c:v>956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données!$A$113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3300"/>
                        </a:solidFill>
                        <a:latin typeface="Arial"/>
                        <a:ea typeface="Arial"/>
                        <a:cs typeface="Arial"/>
                      </a:rPr>
                      <a:t>862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données!$Q$109:$W$109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données!$Q$113:$W$113</c:f>
              <c:numCache>
                <c:ptCount val="7"/>
                <c:pt idx="0">
                  <c:v>811</c:v>
                </c:pt>
                <c:pt idx="1">
                  <c:v>755</c:v>
                </c:pt>
                <c:pt idx="2">
                  <c:v>583</c:v>
                </c:pt>
                <c:pt idx="3">
                  <c:v>666</c:v>
                </c:pt>
                <c:pt idx="4">
                  <c:v>861.8</c:v>
                </c:pt>
                <c:pt idx="5">
                  <c:v>805.8</c:v>
                </c:pt>
                <c:pt idx="6">
                  <c:v>1168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données!$A$114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données!$Q$109:$W$109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données!$Q$114:$V$114</c:f>
              <c:numCache>
                <c:ptCount val="6"/>
                <c:pt idx="0">
                  <c:v>108</c:v>
                </c:pt>
                <c:pt idx="1">
                  <c:v>207.48999999999998</c:v>
                </c:pt>
                <c:pt idx="2">
                  <c:v>147</c:v>
                </c:pt>
                <c:pt idx="3">
                  <c:v>151</c:v>
                </c:pt>
                <c:pt idx="4">
                  <c:v>129</c:v>
                </c:pt>
                <c:pt idx="5">
                  <c:v>139</c:v>
                </c:pt>
              </c:numCache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7498"/>
        <c:crossesAt val="1"/>
        <c:crossBetween val="between"/>
        <c:dispUnits/>
        <c:majorUnit val="2000"/>
        <c:minorUnit val="1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5"/>
          <c:y val="0.92275"/>
          <c:w val="0.579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sheep fescue seed area / fétuque ovine</a:t>
            </a:r>
          </a:p>
        </c:rich>
      </c:tx>
      <c:layout>
        <c:manualLayout>
          <c:xMode val="factor"/>
          <c:yMode val="factor"/>
          <c:x val="0.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0975"/>
          <c:w val="0.942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données!$A$117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1 366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données!$Q$116:$W$116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données!$Q$117:$V$117</c:f>
              <c:numCache>
                <c:ptCount val="6"/>
                <c:pt idx="0">
                  <c:v>1448</c:v>
                </c:pt>
                <c:pt idx="1">
                  <c:v>1469</c:v>
                </c:pt>
                <c:pt idx="2">
                  <c:v>1387</c:v>
                </c:pt>
                <c:pt idx="3">
                  <c:v>1346</c:v>
                </c:pt>
                <c:pt idx="4">
                  <c:v>1494</c:v>
                </c:pt>
                <c:pt idx="5">
                  <c:v>1423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données!$A$118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1 332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données!$Q$116:$W$116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données!$Q$118:$V$118</c:f>
              <c:numCache>
                <c:ptCount val="6"/>
                <c:pt idx="0">
                  <c:v>784</c:v>
                </c:pt>
                <c:pt idx="1">
                  <c:v>774</c:v>
                </c:pt>
                <c:pt idx="2">
                  <c:v>697</c:v>
                </c:pt>
                <c:pt idx="3">
                  <c:v>761</c:v>
                </c:pt>
                <c:pt idx="4">
                  <c:v>786</c:v>
                </c:pt>
                <c:pt idx="5">
                  <c:v>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données!$A$119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données!$Q$116:$W$116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données!$Q$119:$W$119</c:f>
              <c:numCache>
                <c:ptCount val="7"/>
                <c:pt idx="0">
                  <c:v>49</c:v>
                </c:pt>
                <c:pt idx="1">
                  <c:v>15</c:v>
                </c:pt>
                <c:pt idx="2">
                  <c:v>5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2325"/>
        <c:crosses val="autoZero"/>
        <c:auto val="1"/>
        <c:lblOffset val="200"/>
        <c:tickLblSkip val="1"/>
        <c:noMultiLvlLbl val="0"/>
      </c:catAx>
      <c:valAx>
        <c:axId val="6345232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20"/>
        <c:crossesAt val="1"/>
        <c:crossBetween val="between"/>
        <c:dispUnits/>
        <c:majorUnit val="4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25"/>
          <c:y val="0.94125"/>
          <c:w val="0.882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perenial ryegrass seed areas / RGA</a:t>
            </a:r>
          </a:p>
        </c:rich>
      </c:tx>
      <c:layout>
        <c:manualLayout>
          <c:xMode val="factor"/>
          <c:yMode val="factor"/>
          <c:x val="0.04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2"/>
          <c:w val="0.9452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données!$A$124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données!$Q$124:$W$124</c:f>
              <c:numCache>
                <c:ptCount val="7"/>
                <c:pt idx="0">
                  <c:v>549.7</c:v>
                </c:pt>
                <c:pt idx="1">
                  <c:v>453.11</c:v>
                </c:pt>
                <c:pt idx="2">
                  <c:v>378</c:v>
                </c:pt>
                <c:pt idx="3">
                  <c:v>404</c:v>
                </c:pt>
                <c:pt idx="4">
                  <c:v>358</c:v>
                </c:pt>
                <c:pt idx="5">
                  <c:v>358</c:v>
                </c:pt>
                <c:pt idx="6">
                  <c:v>410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données!$A$125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données!$Q$125:$V$125</c:f>
              <c:numCache>
                <c:ptCount val="6"/>
                <c:pt idx="0">
                  <c:v>7134</c:v>
                </c:pt>
                <c:pt idx="1">
                  <c:v>6761</c:v>
                </c:pt>
                <c:pt idx="2">
                  <c:v>6154</c:v>
                </c:pt>
                <c:pt idx="3">
                  <c:v>5308</c:v>
                </c:pt>
                <c:pt idx="4">
                  <c:v>4720</c:v>
                </c:pt>
                <c:pt idx="5">
                  <c:v>4684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données!$A$126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données!$Q$126:$V$126</c:f>
              <c:numCache>
                <c:ptCount val="6"/>
                <c:pt idx="0">
                  <c:v>34845</c:v>
                </c:pt>
                <c:pt idx="1">
                  <c:v>38056</c:v>
                </c:pt>
                <c:pt idx="2">
                  <c:v>35581</c:v>
                </c:pt>
                <c:pt idx="3">
                  <c:v>26525</c:v>
                </c:pt>
                <c:pt idx="4">
                  <c:v>24074</c:v>
                </c:pt>
                <c:pt idx="5">
                  <c:v>25956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données!$A$127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données!$Q$127:$W$127</c:f>
              <c:numCache>
                <c:ptCount val="7"/>
                <c:pt idx="0">
                  <c:v>3210</c:v>
                </c:pt>
                <c:pt idx="1">
                  <c:v>2157</c:v>
                </c:pt>
                <c:pt idx="2">
                  <c:v>2064</c:v>
                </c:pt>
                <c:pt idx="3">
                  <c:v>2154</c:v>
                </c:pt>
                <c:pt idx="4">
                  <c:v>2546</c:v>
                </c:pt>
                <c:pt idx="5">
                  <c:v>2636</c:v>
                </c:pt>
                <c:pt idx="6">
                  <c:v>2895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données!$A$129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données!$Q$129:$W$129</c:f>
              <c:numCache>
                <c:ptCount val="7"/>
                <c:pt idx="0">
                  <c:v>788</c:v>
                </c:pt>
                <c:pt idx="1">
                  <c:v>755</c:v>
                </c:pt>
                <c:pt idx="2">
                  <c:v>745</c:v>
                </c:pt>
                <c:pt idx="3">
                  <c:v>395</c:v>
                </c:pt>
                <c:pt idx="4">
                  <c:v>428.6</c:v>
                </c:pt>
                <c:pt idx="5">
                  <c:v>419.1</c:v>
                </c:pt>
                <c:pt idx="6">
                  <c:v>451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données!$A$130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4 795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données!$Q$130:$W$130</c:f>
              <c:numCache>
                <c:ptCount val="7"/>
                <c:pt idx="0">
                  <c:v>4632</c:v>
                </c:pt>
                <c:pt idx="1">
                  <c:v>4888</c:v>
                </c:pt>
                <c:pt idx="2">
                  <c:v>5111</c:v>
                </c:pt>
                <c:pt idx="3">
                  <c:v>4795.2</c:v>
                </c:pt>
                <c:pt idx="4">
                  <c:v>5086.2</c:v>
                </c:pt>
                <c:pt idx="5">
                  <c:v>4731.099999999999</c:v>
                </c:pt>
                <c:pt idx="6">
                  <c:v>5058.5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données!$A$131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données!$Q$131:$U$131</c:f>
              <c:numCache>
                <c:ptCount val="5"/>
                <c:pt idx="0">
                  <c:v>1090</c:v>
                </c:pt>
                <c:pt idx="1">
                  <c:v>1317</c:v>
                </c:pt>
                <c:pt idx="2">
                  <c:v>916</c:v>
                </c:pt>
                <c:pt idx="3">
                  <c:v>773</c:v>
                </c:pt>
                <c:pt idx="4">
                  <c:v>988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données!$A$132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données!$Q$132:$U$132</c:f>
              <c:numCache>
                <c:ptCount val="5"/>
                <c:pt idx="0">
                  <c:v>4406</c:v>
                </c:pt>
                <c:pt idx="1">
                  <c:v>4891</c:v>
                </c:pt>
                <c:pt idx="2">
                  <c:v>6257</c:v>
                </c:pt>
                <c:pt idx="3">
                  <c:v>6862</c:v>
                </c:pt>
                <c:pt idx="4">
                  <c:v>6852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auto val="1"/>
        <c:lblOffset val="300"/>
        <c:tickLblSkip val="1"/>
        <c:noMultiLvlLbl val="0"/>
      </c:catAx>
      <c:valAx>
        <c:axId val="39364671"/>
        <c:scaling>
          <c:orientation val="minMax"/>
          <c:max val="40000"/>
          <c:min val="-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1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0014"/>
        <c:crossesAt val="1"/>
        <c:crossBetween val="between"/>
        <c:dispUnits/>
        <c:majorUnit val="7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25"/>
          <c:y val="0.94275"/>
          <c:w val="0.9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perenial ryegrass seed area (without Demnark)</a:t>
            </a:r>
          </a:p>
        </c:rich>
      </c:tx>
      <c:layout>
        <c:manualLayout>
          <c:xMode val="factor"/>
          <c:yMode val="factor"/>
          <c:x val="0.06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39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données!$A$124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811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404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données!$Q$124:$W$124</c:f>
              <c:numCache>
                <c:ptCount val="7"/>
                <c:pt idx="0">
                  <c:v>549.7</c:v>
                </c:pt>
                <c:pt idx="1">
                  <c:v>453.11</c:v>
                </c:pt>
                <c:pt idx="2">
                  <c:v>378</c:v>
                </c:pt>
                <c:pt idx="3">
                  <c:v>404</c:v>
                </c:pt>
                <c:pt idx="4">
                  <c:v>358</c:v>
                </c:pt>
                <c:pt idx="5">
                  <c:v>358</c:v>
                </c:pt>
                <c:pt idx="6">
                  <c:v>410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données!$A$125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9 841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5 511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données!$Q$125:$V$125</c:f>
              <c:numCache>
                <c:ptCount val="6"/>
                <c:pt idx="0">
                  <c:v>7134</c:v>
                </c:pt>
                <c:pt idx="1">
                  <c:v>6761</c:v>
                </c:pt>
                <c:pt idx="2">
                  <c:v>6154</c:v>
                </c:pt>
                <c:pt idx="3">
                  <c:v>5308</c:v>
                </c:pt>
                <c:pt idx="4">
                  <c:v>4720</c:v>
                </c:pt>
                <c:pt idx="5">
                  <c:v>4684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données!$A$127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2 154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données!$Q$127:$W$127</c:f>
              <c:numCache>
                <c:ptCount val="7"/>
                <c:pt idx="0">
                  <c:v>3210</c:v>
                </c:pt>
                <c:pt idx="1">
                  <c:v>2157</c:v>
                </c:pt>
                <c:pt idx="2">
                  <c:v>2064</c:v>
                </c:pt>
                <c:pt idx="3">
                  <c:v>2154</c:v>
                </c:pt>
                <c:pt idx="4">
                  <c:v>2546</c:v>
                </c:pt>
                <c:pt idx="5">
                  <c:v>2636</c:v>
                </c:pt>
                <c:pt idx="6">
                  <c:v>2895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données!$A$129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3300"/>
                        </a:solidFill>
                        <a:latin typeface="Arial"/>
                        <a:ea typeface="Arial"/>
                        <a:cs typeface="Arial"/>
                      </a:rPr>
                      <a:t>395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données!$Q$129:$W$129</c:f>
              <c:numCache>
                <c:ptCount val="7"/>
                <c:pt idx="0">
                  <c:v>788</c:v>
                </c:pt>
                <c:pt idx="1">
                  <c:v>755</c:v>
                </c:pt>
                <c:pt idx="2">
                  <c:v>745</c:v>
                </c:pt>
                <c:pt idx="3">
                  <c:v>395</c:v>
                </c:pt>
                <c:pt idx="4">
                  <c:v>428.6</c:v>
                </c:pt>
                <c:pt idx="5">
                  <c:v>419.1</c:v>
                </c:pt>
                <c:pt idx="6">
                  <c:v>451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données!$A$130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4 795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données!$Q$123:$W$123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données!$Q$130:$W$130</c:f>
              <c:numCache>
                <c:ptCount val="7"/>
                <c:pt idx="0">
                  <c:v>4632</c:v>
                </c:pt>
                <c:pt idx="1">
                  <c:v>4888</c:v>
                </c:pt>
                <c:pt idx="2">
                  <c:v>5111</c:v>
                </c:pt>
                <c:pt idx="3">
                  <c:v>4795.2</c:v>
                </c:pt>
                <c:pt idx="4">
                  <c:v>5086.2</c:v>
                </c:pt>
                <c:pt idx="5">
                  <c:v>4731.099999999999</c:v>
                </c:pt>
                <c:pt idx="6">
                  <c:v>5058.5</c:v>
                </c:pt>
              </c:numCache>
            </c:numRef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1753"/>
        <c:crosses val="autoZero"/>
        <c:auto val="1"/>
        <c:lblOffset val="700"/>
        <c:tickLblSkip val="1"/>
        <c:noMultiLvlLbl val="0"/>
      </c:catAx>
      <c:valAx>
        <c:axId val="34421753"/>
        <c:scaling>
          <c:orientation val="minMax"/>
          <c:max val="10000"/>
          <c:min val="-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At val="1"/>
        <c:crossBetween val="between"/>
        <c:dispUnits/>
        <c:majorUnit val="5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5"/>
          <c:y val="0.94075"/>
          <c:w val="0.895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hybrid ryegrass seed areas / RGH</a:t>
            </a:r>
          </a:p>
        </c:rich>
      </c:tx>
      <c:layout>
        <c:manualLayout>
          <c:xMode val="factor"/>
          <c:yMode val="factor"/>
          <c:x val="0.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9352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données!$A$134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données!$Q$133:$W$133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données!$Q$134:$V$134</c:f>
              <c:numCache>
                <c:ptCount val="6"/>
                <c:pt idx="0">
                  <c:v>455</c:v>
                </c:pt>
                <c:pt idx="1">
                  <c:v>454</c:v>
                </c:pt>
                <c:pt idx="2">
                  <c:v>416</c:v>
                </c:pt>
                <c:pt idx="3">
                  <c:v>475</c:v>
                </c:pt>
                <c:pt idx="4">
                  <c:v>372</c:v>
                </c:pt>
                <c:pt idx="5">
                  <c:v>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données!$A$135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données!$Q$133:$W$133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données!$Q$135:$V$135</c:f>
              <c:numCache>
                <c:ptCount val="6"/>
                <c:pt idx="0">
                  <c:v>697</c:v>
                </c:pt>
                <c:pt idx="1">
                  <c:v>774</c:v>
                </c:pt>
                <c:pt idx="2">
                  <c:v>913</c:v>
                </c:pt>
                <c:pt idx="3">
                  <c:v>694</c:v>
                </c:pt>
                <c:pt idx="4">
                  <c:v>302</c:v>
                </c:pt>
                <c:pt idx="5">
                  <c:v>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données!$A$136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1 543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données!$Q$133:$W$133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données!$Q$136:$W$136</c:f>
              <c:numCache>
                <c:ptCount val="7"/>
                <c:pt idx="0">
                  <c:v>1347</c:v>
                </c:pt>
                <c:pt idx="1">
                  <c:v>1356</c:v>
                </c:pt>
                <c:pt idx="2">
                  <c:v>808</c:v>
                </c:pt>
                <c:pt idx="3">
                  <c:v>1543</c:v>
                </c:pt>
                <c:pt idx="4">
                  <c:v>1131</c:v>
                </c:pt>
                <c:pt idx="5">
                  <c:v>1212</c:v>
                </c:pt>
                <c:pt idx="6">
                  <c:v>1270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données!$A$137</c:f>
              <c:strCache>
                <c:ptCount val="1"/>
                <c:pt idx="0">
                  <c:v>Netherland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données!$Q$133:$W$133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données!$Q$137:$U$137</c:f>
              <c:numCache>
                <c:ptCount val="5"/>
                <c:pt idx="0">
                  <c:v>254</c:v>
                </c:pt>
                <c:pt idx="1">
                  <c:v>263</c:v>
                </c:pt>
                <c:pt idx="2">
                  <c:v>283</c:v>
                </c:pt>
                <c:pt idx="3">
                  <c:v>275</c:v>
                </c:pt>
                <c:pt idx="4">
                  <c:v>263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données!$A$139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637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données!$Q$133:$W$133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données!$Q$139:$W$139</c:f>
              <c:numCache>
                <c:ptCount val="7"/>
                <c:pt idx="0">
                  <c:v>641</c:v>
                </c:pt>
                <c:pt idx="1">
                  <c:v>699</c:v>
                </c:pt>
                <c:pt idx="2">
                  <c:v>613</c:v>
                </c:pt>
                <c:pt idx="3">
                  <c:v>636.9</c:v>
                </c:pt>
                <c:pt idx="4">
                  <c:v>735</c:v>
                </c:pt>
                <c:pt idx="5">
                  <c:v>537.5</c:v>
                </c:pt>
                <c:pt idx="6">
                  <c:v>578.4000000000001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données!$A$138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données!$Q$133:$W$133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données!$Q$138:$W$138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32.9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1360322"/>
        <c:axId val="36698579"/>
      </c:line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8579"/>
        <c:crosses val="autoZero"/>
        <c:auto val="1"/>
        <c:lblOffset val="100"/>
        <c:tickLblSkip val="1"/>
        <c:noMultiLvlLbl val="0"/>
      </c:catAx>
      <c:valAx>
        <c:axId val="3669857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0322"/>
        <c:crossesAt val="1"/>
        <c:crossBetween val="between"/>
        <c:dispUnits/>
        <c:majorUnit val="5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"/>
          <c:y val="0.92675"/>
          <c:w val="0.694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winter wheat areas / blé tendre hiver</a:t>
            </a:r>
          </a:p>
        </c:rich>
      </c:tx>
      <c:layout>
        <c:manualLayout>
          <c:xMode val="factor"/>
          <c:yMode val="factor"/>
          <c:x val="0.035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09"/>
          <c:w val="0.8997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données!$A$2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données!$Q$1:$W$1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données!$Q$2:$W$2</c:f>
              <c:numCache>
                <c:ptCount val="7"/>
                <c:pt idx="0">
                  <c:v>4734</c:v>
                </c:pt>
                <c:pt idx="1">
                  <c:v>4193.7</c:v>
                </c:pt>
                <c:pt idx="2">
                  <c:v>4629</c:v>
                </c:pt>
                <c:pt idx="3">
                  <c:v>4772</c:v>
                </c:pt>
                <c:pt idx="4">
                  <c:v>4970</c:v>
                </c:pt>
                <c:pt idx="5">
                  <c:v>5151</c:v>
                </c:pt>
                <c:pt idx="6">
                  <c:v>5150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données!$Q$1:$W$1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données!$P$3:$V$3</c:f>
              <c:numCache>
                <c:ptCount val="6"/>
                <c:pt idx="0">
                  <c:v>58468</c:v>
                </c:pt>
                <c:pt idx="1">
                  <c:v>60534</c:v>
                </c:pt>
                <c:pt idx="2">
                  <c:v>56640</c:v>
                </c:pt>
                <c:pt idx="3">
                  <c:v>52128</c:v>
                </c:pt>
                <c:pt idx="4">
                  <c:v>50423</c:v>
                </c:pt>
                <c:pt idx="5">
                  <c:v>51587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données!$A$4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données!$Q$1:$W$1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données!$Q$4:$V$4</c:f>
              <c:numCache>
                <c:ptCount val="6"/>
                <c:pt idx="0">
                  <c:v>18778</c:v>
                </c:pt>
                <c:pt idx="1">
                  <c:v>16164</c:v>
                </c:pt>
                <c:pt idx="2">
                  <c:v>20204.949999999997</c:v>
                </c:pt>
                <c:pt idx="3">
                  <c:v>19815</c:v>
                </c:pt>
                <c:pt idx="4">
                  <c:v>17545</c:v>
                </c:pt>
                <c:pt idx="5">
                  <c:v>17783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83 605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données!$Q$1:$W$1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données!$Q$5:$W$5</c:f>
              <c:numCache>
                <c:ptCount val="7"/>
                <c:pt idx="0">
                  <c:v>83113</c:v>
                </c:pt>
                <c:pt idx="1">
                  <c:v>86459</c:v>
                </c:pt>
                <c:pt idx="2">
                  <c:v>96310</c:v>
                </c:pt>
                <c:pt idx="3">
                  <c:v>101660</c:v>
                </c:pt>
                <c:pt idx="4">
                  <c:v>89845</c:v>
                </c:pt>
                <c:pt idx="5">
                  <c:v>82292</c:v>
                </c:pt>
                <c:pt idx="6">
                  <c:v>77541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données!$A$6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80008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données!$Q$1:$W$1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données!$Q$6:$W$6</c:f>
              <c:numCache>
                <c:ptCount val="7"/>
                <c:pt idx="0">
                  <c:v>25707</c:v>
                </c:pt>
                <c:pt idx="1">
                  <c:v>27859</c:v>
                </c:pt>
                <c:pt idx="2">
                  <c:v>27407</c:v>
                </c:pt>
                <c:pt idx="3">
                  <c:v>24290</c:v>
                </c:pt>
                <c:pt idx="4">
                  <c:v>23374</c:v>
                </c:pt>
                <c:pt idx="5">
                  <c:v>20942</c:v>
                </c:pt>
                <c:pt idx="6">
                  <c:v>21868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données!$A$7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données!$Q$1:$W$1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données!$Q$7:$V$7</c:f>
              <c:numCache>
                <c:ptCount val="6"/>
                <c:pt idx="0">
                  <c:v>12775</c:v>
                </c:pt>
                <c:pt idx="1">
                  <c:v>10759</c:v>
                </c:pt>
                <c:pt idx="2">
                  <c:v>15056</c:v>
                </c:pt>
                <c:pt idx="3">
                  <c:v>13707</c:v>
                </c:pt>
                <c:pt idx="4">
                  <c:v>14106</c:v>
                </c:pt>
                <c:pt idx="5">
                  <c:v>12883.4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données!$A$8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41 985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données!$Q$1:$W$1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données!$Q$8:$W$8</c:f>
              <c:numCache>
                <c:ptCount val="7"/>
                <c:pt idx="0">
                  <c:v>35332</c:v>
                </c:pt>
                <c:pt idx="1">
                  <c:v>34052</c:v>
                </c:pt>
                <c:pt idx="2">
                  <c:v>41985</c:v>
                </c:pt>
                <c:pt idx="3">
                  <c:v>36531.11</c:v>
                </c:pt>
                <c:pt idx="4">
                  <c:v>33270</c:v>
                </c:pt>
                <c:pt idx="5">
                  <c:v>32753.649999999998</c:v>
                </c:pt>
                <c:pt idx="6">
                  <c:v>33743.70000000001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données!$A$9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val>
            <c:numRef>
              <c:f>données!$Q$9:$W$9</c:f>
              <c:numCache>
                <c:ptCount val="7"/>
                <c:pt idx="0">
                  <c:v>500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At val="0"/>
        <c:auto val="1"/>
        <c:lblOffset val="300"/>
        <c:tickLblSkip val="1"/>
        <c:noMultiLvlLbl val="0"/>
      </c:catAx>
      <c:valAx>
        <c:axId val="10137433"/>
        <c:scaling>
          <c:orientation val="minMax"/>
          <c:max val="10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3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562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4"/>
          <c:y val="0.93575"/>
          <c:w val="0.693"/>
          <c:h val="0.034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Italian ryegrass seed areas / RGI</a:t>
            </a:r>
          </a:p>
        </c:rich>
      </c:tx>
      <c:layout>
        <c:manualLayout>
          <c:xMode val="factor"/>
          <c:yMode val="factor"/>
          <c:x val="0.04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91"/>
          <c:w val="0.973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données!$A$143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6666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données!$Q$143:$W$143</c:f>
              <c:numCache>
                <c:ptCount val="7"/>
                <c:pt idx="0">
                  <c:v>2277</c:v>
                </c:pt>
                <c:pt idx="1">
                  <c:v>1952.61</c:v>
                </c:pt>
                <c:pt idx="2">
                  <c:v>1853</c:v>
                </c:pt>
                <c:pt idx="3">
                  <c:v>1856</c:v>
                </c:pt>
                <c:pt idx="4">
                  <c:v>1796</c:v>
                </c:pt>
                <c:pt idx="5">
                  <c:v>2064</c:v>
                </c:pt>
                <c:pt idx="6">
                  <c:v>2445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données!$A$144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données!$Q$144:$V$144</c:f>
              <c:numCache>
                <c:ptCount val="6"/>
                <c:pt idx="0">
                  <c:v>14127</c:v>
                </c:pt>
                <c:pt idx="1">
                  <c:v>12408</c:v>
                </c:pt>
                <c:pt idx="2">
                  <c:v>12259</c:v>
                </c:pt>
                <c:pt idx="3">
                  <c:v>11523</c:v>
                </c:pt>
                <c:pt idx="4">
                  <c:v>12395</c:v>
                </c:pt>
                <c:pt idx="5">
                  <c:v>11857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données!$A$145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données!$Q$145:$V$145</c:f>
              <c:numCache>
                <c:ptCount val="6"/>
                <c:pt idx="0">
                  <c:v>1443</c:v>
                </c:pt>
                <c:pt idx="1">
                  <c:v>1283</c:v>
                </c:pt>
                <c:pt idx="2">
                  <c:v>1376</c:v>
                </c:pt>
                <c:pt idx="3">
                  <c:v>1102</c:v>
                </c:pt>
                <c:pt idx="4">
                  <c:v>818</c:v>
                </c:pt>
                <c:pt idx="5">
                  <c:v>1740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données!$A$146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données!$Q$146:$W$146</c:f>
              <c:numCache>
                <c:ptCount val="7"/>
                <c:pt idx="0">
                  <c:v>3176</c:v>
                </c:pt>
                <c:pt idx="1">
                  <c:v>2829</c:v>
                </c:pt>
                <c:pt idx="2">
                  <c:v>3157</c:v>
                </c:pt>
                <c:pt idx="3">
                  <c:v>1943</c:v>
                </c:pt>
                <c:pt idx="4">
                  <c:v>2611</c:v>
                </c:pt>
                <c:pt idx="5">
                  <c:v>2984</c:v>
                </c:pt>
                <c:pt idx="6">
                  <c:v>2933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données!$A$147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données!$Q$147:$V$147</c:f>
              <c:numCache>
                <c:ptCount val="6"/>
                <c:pt idx="0">
                  <c:v>4256</c:v>
                </c:pt>
                <c:pt idx="1">
                  <c:v>4571</c:v>
                </c:pt>
                <c:pt idx="2">
                  <c:v>4571</c:v>
                </c:pt>
                <c:pt idx="3">
                  <c:v>3038</c:v>
                </c:pt>
                <c:pt idx="4">
                  <c:v>3648</c:v>
                </c:pt>
                <c:pt idx="5">
                  <c:v>3193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données!$A$148</c:f>
              <c:strCache>
                <c:ptCount val="1"/>
                <c:pt idx="0">
                  <c:v>Netherland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données!$Q$148:$U$148</c:f>
              <c:numCache>
                <c:ptCount val="5"/>
                <c:pt idx="0">
                  <c:v>1662</c:v>
                </c:pt>
                <c:pt idx="1">
                  <c:v>1337</c:v>
                </c:pt>
                <c:pt idx="2">
                  <c:v>809</c:v>
                </c:pt>
                <c:pt idx="3">
                  <c:v>611</c:v>
                </c:pt>
                <c:pt idx="4">
                  <c:v>803</c:v>
                </c:pt>
              </c:numCache>
            </c:numRef>
          </c:val>
          <c:smooth val="0"/>
        </c:ser>
        <c:marker val="1"/>
        <c:axId val="61851756"/>
        <c:axId val="19794893"/>
      </c:line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4893"/>
        <c:crosses val="autoZero"/>
        <c:auto val="1"/>
        <c:lblOffset val="700"/>
        <c:tickLblSkip val="1"/>
        <c:noMultiLvlLbl val="0"/>
      </c:catAx>
      <c:valAx>
        <c:axId val="19794893"/>
        <c:scaling>
          <c:orientation val="minMax"/>
          <c:max val="14500"/>
          <c:min val="-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01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1756"/>
        <c:crossesAt val="1"/>
        <c:crossBetween val="between"/>
        <c:dispUnits/>
        <c:majorUnit val="4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5"/>
          <c:y val="0.931"/>
          <c:w val="0.913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ESGG : italian ryegrass seed area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275"/>
          <c:w val="0.956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données!$A$143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1 856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données!$Q$143:$W$143</c:f>
              <c:numCache>
                <c:ptCount val="7"/>
                <c:pt idx="0">
                  <c:v>2277</c:v>
                </c:pt>
                <c:pt idx="1">
                  <c:v>1952.61</c:v>
                </c:pt>
                <c:pt idx="2">
                  <c:v>1853</c:v>
                </c:pt>
                <c:pt idx="3">
                  <c:v>1856</c:v>
                </c:pt>
                <c:pt idx="4">
                  <c:v>1796</c:v>
                </c:pt>
                <c:pt idx="5">
                  <c:v>2064</c:v>
                </c:pt>
                <c:pt idx="6">
                  <c:v>2445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données!$A$144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données!$Q$144:$V$144</c:f>
              <c:numCache>
                <c:ptCount val="6"/>
                <c:pt idx="0">
                  <c:v>14127</c:v>
                </c:pt>
                <c:pt idx="1">
                  <c:v>12408</c:v>
                </c:pt>
                <c:pt idx="2">
                  <c:v>12259</c:v>
                </c:pt>
                <c:pt idx="3">
                  <c:v>11523</c:v>
                </c:pt>
                <c:pt idx="4">
                  <c:v>12395</c:v>
                </c:pt>
                <c:pt idx="5">
                  <c:v>11857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données!$A$145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1 102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données!$Q$145:$V$145</c:f>
              <c:numCache>
                <c:ptCount val="6"/>
                <c:pt idx="0">
                  <c:v>1443</c:v>
                </c:pt>
                <c:pt idx="1">
                  <c:v>1283</c:v>
                </c:pt>
                <c:pt idx="2">
                  <c:v>1376</c:v>
                </c:pt>
                <c:pt idx="3">
                  <c:v>1102</c:v>
                </c:pt>
                <c:pt idx="4">
                  <c:v>818</c:v>
                </c:pt>
                <c:pt idx="5">
                  <c:v>1740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données!$A$146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données!$Q$146:$W$146</c:f>
              <c:numCache>
                <c:ptCount val="7"/>
                <c:pt idx="0">
                  <c:v>3176</c:v>
                </c:pt>
                <c:pt idx="1">
                  <c:v>2829</c:v>
                </c:pt>
                <c:pt idx="2">
                  <c:v>3157</c:v>
                </c:pt>
                <c:pt idx="3">
                  <c:v>1943</c:v>
                </c:pt>
                <c:pt idx="4">
                  <c:v>2611</c:v>
                </c:pt>
                <c:pt idx="5">
                  <c:v>2984</c:v>
                </c:pt>
                <c:pt idx="6">
                  <c:v>2933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données!$A$147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données!$Q$147:$V$147</c:f>
              <c:numCache>
                <c:ptCount val="6"/>
                <c:pt idx="0">
                  <c:v>4256</c:v>
                </c:pt>
                <c:pt idx="1">
                  <c:v>4571</c:v>
                </c:pt>
                <c:pt idx="2">
                  <c:v>4571</c:v>
                </c:pt>
                <c:pt idx="3">
                  <c:v>3038</c:v>
                </c:pt>
                <c:pt idx="4">
                  <c:v>3648</c:v>
                </c:pt>
                <c:pt idx="5">
                  <c:v>3193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données!$A$148</c:f>
              <c:strCache>
                <c:ptCount val="1"/>
                <c:pt idx="0">
                  <c:v>Netherland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données!$Q$142:$W$142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données!$Q$148:$U$148</c:f>
              <c:numCache>
                <c:ptCount val="5"/>
                <c:pt idx="0">
                  <c:v>1662</c:v>
                </c:pt>
                <c:pt idx="1">
                  <c:v>1337</c:v>
                </c:pt>
                <c:pt idx="2">
                  <c:v>809</c:v>
                </c:pt>
                <c:pt idx="3">
                  <c:v>611</c:v>
                </c:pt>
                <c:pt idx="4">
                  <c:v>803</c:v>
                </c:pt>
              </c:numCache>
            </c:numRef>
          </c:val>
          <c:smooth val="0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At val="1"/>
        <c:crossBetween val="between"/>
        <c:dispUnits/>
        <c:majorUnit val="2000"/>
        <c:minorUnit val="1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75"/>
          <c:y val="0.94375"/>
          <c:w val="0.521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red clover seed areas / trèfle violet</a:t>
            </a:r>
          </a:p>
        </c:rich>
      </c:tx>
      <c:layout>
        <c:manualLayout>
          <c:xMode val="factor"/>
          <c:yMode val="factor"/>
          <c:x val="0.04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9825"/>
          <c:w val="0.957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données!$A$153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données!$Q$152:$W$152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données!$Q$153:$V$153</c:f>
              <c:numCache>
                <c:ptCount val="6"/>
                <c:pt idx="0">
                  <c:v>2450</c:v>
                </c:pt>
                <c:pt idx="1">
                  <c:v>2229</c:v>
                </c:pt>
                <c:pt idx="2">
                  <c:v>2322</c:v>
                </c:pt>
                <c:pt idx="3">
                  <c:v>2507</c:v>
                </c:pt>
                <c:pt idx="4">
                  <c:v>2888</c:v>
                </c:pt>
                <c:pt idx="5">
                  <c:v>3209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données!$A$154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données!$Q$152:$W$152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données!$Q$154:$V$154</c:f>
              <c:numCache>
                <c:ptCount val="6"/>
                <c:pt idx="0">
                  <c:v>310</c:v>
                </c:pt>
                <c:pt idx="1">
                  <c:v>435</c:v>
                </c:pt>
                <c:pt idx="2">
                  <c:v>463</c:v>
                </c:pt>
                <c:pt idx="3">
                  <c:v>299</c:v>
                </c:pt>
                <c:pt idx="4">
                  <c:v>139</c:v>
                </c:pt>
                <c:pt idx="5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données!$A$155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6 362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données!$Q$152:$W$152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données!$Q$155:$W$155</c:f>
              <c:numCache>
                <c:ptCount val="7"/>
                <c:pt idx="0">
                  <c:v>3807</c:v>
                </c:pt>
                <c:pt idx="1">
                  <c:v>3405</c:v>
                </c:pt>
                <c:pt idx="2">
                  <c:v>4476</c:v>
                </c:pt>
                <c:pt idx="3">
                  <c:v>6362</c:v>
                </c:pt>
                <c:pt idx="4">
                  <c:v>7833</c:v>
                </c:pt>
                <c:pt idx="5">
                  <c:v>9968</c:v>
                </c:pt>
                <c:pt idx="6">
                  <c:v>10558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données!$A$156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données!$Q$152:$W$152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données!$Q$156:$V$156</c:f>
              <c:numCache>
                <c:ptCount val="6"/>
                <c:pt idx="0">
                  <c:v>105</c:v>
                </c:pt>
                <c:pt idx="1">
                  <c:v>113</c:v>
                </c:pt>
                <c:pt idx="2">
                  <c:v>184</c:v>
                </c:pt>
                <c:pt idx="3">
                  <c:v>224</c:v>
                </c:pt>
                <c:pt idx="4">
                  <c:v>151</c:v>
                </c:pt>
                <c:pt idx="5">
                  <c:v>189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données!$A$157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données!$Q$152:$W$152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données!$Q$157:$W$157</c:f>
              <c:numCache>
                <c:ptCount val="7"/>
                <c:pt idx="0">
                  <c:v>2750</c:v>
                </c:pt>
                <c:pt idx="1">
                  <c:v>2197</c:v>
                </c:pt>
                <c:pt idx="2">
                  <c:v>2331</c:v>
                </c:pt>
                <c:pt idx="3">
                  <c:v>2899</c:v>
                </c:pt>
                <c:pt idx="4">
                  <c:v>3065.8</c:v>
                </c:pt>
                <c:pt idx="5">
                  <c:v>2872</c:v>
                </c:pt>
                <c:pt idx="6">
                  <c:v>3114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données!$A$158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données!$Q$152:$W$152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données!$Q$158:$V$158</c:f>
              <c:numCache>
                <c:ptCount val="6"/>
                <c:pt idx="0">
                  <c:v>493</c:v>
                </c:pt>
                <c:pt idx="1">
                  <c:v>584.51</c:v>
                </c:pt>
                <c:pt idx="2">
                  <c:v>542</c:v>
                </c:pt>
                <c:pt idx="3">
                  <c:v>590</c:v>
                </c:pt>
                <c:pt idx="4">
                  <c:v>511</c:v>
                </c:pt>
                <c:pt idx="5">
                  <c:v>589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données!$A$159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dPt>
            <c:idx val="4"/>
            <c:spPr>
              <a:solidFill>
                <a:srgbClr val="93A9CF"/>
              </a:solidFill>
              <a:ln w="25400">
                <a:solidFill>
                  <a:srgbClr val="A6CAF0"/>
                </a:solidFill>
              </a:ln>
            </c:spPr>
            <c:marker>
              <c:size val="7"/>
              <c:spPr>
                <a:solidFill>
                  <a:srgbClr val="8080FF"/>
                </a:solidFill>
                <a:ln>
                  <a:solidFill>
                    <a:srgbClr val="A6CAF0"/>
                  </a:solidFill>
                </a:ln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A0E0E0"/>
                        </a:solidFill>
                        <a:latin typeface="Arial"/>
                        <a:ea typeface="Arial"/>
                        <a:cs typeface="Arial"/>
                      </a:rPr>
                      <a:t>5 656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données!$Q$152:$W$152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données!$Q$159:$U$159</c:f>
              <c:numCache>
                <c:ptCount val="5"/>
                <c:pt idx="0">
                  <c:v>4610</c:v>
                </c:pt>
                <c:pt idx="1">
                  <c:v>4668</c:v>
                </c:pt>
                <c:pt idx="2">
                  <c:v>4815</c:v>
                </c:pt>
                <c:pt idx="3">
                  <c:v>4430</c:v>
                </c:pt>
                <c:pt idx="4">
                  <c:v>5656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données!$A$160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données!$Q$152:$W$152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données!$Q$160:$U$160</c:f>
              <c:numCache>
                <c:ptCount val="5"/>
                <c:pt idx="0">
                  <c:v>924</c:v>
                </c:pt>
                <c:pt idx="1">
                  <c:v>1737</c:v>
                </c:pt>
                <c:pt idx="2">
                  <c:v>1871</c:v>
                </c:pt>
                <c:pt idx="3">
                  <c:v>2743</c:v>
                </c:pt>
                <c:pt idx="4">
                  <c:v>3628</c:v>
                </c:pt>
              </c:numCache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At val="1"/>
        <c:crossBetween val="between"/>
        <c:dispUnits/>
        <c:majorUnit val="2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"/>
          <c:y val="0.9425"/>
          <c:w val="0.868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 clover seed areas / trèfle blanc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"/>
          <c:w val="0.948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données!$A$162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données!$Q$161:$W$161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données!$Q$162:$V$162</c:f>
              <c:numCache>
                <c:ptCount val="6"/>
                <c:pt idx="0">
                  <c:v>36</c:v>
                </c:pt>
                <c:pt idx="1">
                  <c:v>23</c:v>
                </c:pt>
                <c:pt idx="2">
                  <c:v>36</c:v>
                </c:pt>
                <c:pt idx="3">
                  <c:v>15</c:v>
                </c:pt>
                <c:pt idx="4">
                  <c:v>25</c:v>
                </c:pt>
                <c:pt idx="5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données!$A$163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3 403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+25%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données!$Q$161:$W$161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données!$Q$163:$V$163</c:f>
              <c:numCache>
                <c:ptCount val="6"/>
                <c:pt idx="0">
                  <c:v>3129</c:v>
                </c:pt>
                <c:pt idx="1">
                  <c:v>3699</c:v>
                </c:pt>
                <c:pt idx="2">
                  <c:v>2724</c:v>
                </c:pt>
                <c:pt idx="3">
                  <c:v>3403</c:v>
                </c:pt>
                <c:pt idx="4">
                  <c:v>3619</c:v>
                </c:pt>
                <c:pt idx="5">
                  <c:v>3899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données!$A$164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données!$Q$161:$W$161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données!$Q$164:$W$164</c:f>
              <c:numCache>
                <c:ptCount val="7"/>
                <c:pt idx="0">
                  <c:v>735</c:v>
                </c:pt>
                <c:pt idx="1">
                  <c:v>700</c:v>
                </c:pt>
                <c:pt idx="2">
                  <c:v>726</c:v>
                </c:pt>
                <c:pt idx="3">
                  <c:v>1022</c:v>
                </c:pt>
                <c:pt idx="4">
                  <c:v>1201</c:v>
                </c:pt>
                <c:pt idx="5">
                  <c:v>1645.6</c:v>
                </c:pt>
                <c:pt idx="6">
                  <c:v>2069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3195"/>
        <c:crosses val="autoZero"/>
        <c:auto val="1"/>
        <c:lblOffset val="200"/>
        <c:tickLblSkip val="1"/>
        <c:noMultiLvlLbl val="0"/>
      </c:catAx>
      <c:valAx>
        <c:axId val="3360319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At val="1"/>
        <c:crossBetween val="between"/>
        <c:dispUnits/>
        <c:majorUnit val="2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75"/>
          <c:y val="0.935"/>
          <c:w val="0.8922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alfalfa seed areas / luzerne</a:t>
            </a:r>
          </a:p>
        </c:rich>
      </c:tx>
      <c:layout>
        <c:manualLayout>
          <c:xMode val="factor"/>
          <c:yMode val="factor"/>
          <c:x val="0.03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375"/>
          <c:w val="0.950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données!$A$168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15 530
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+33%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données!$Q$167:$W$167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données!$Q$168:$W$168</c:f>
              <c:numCache>
                <c:ptCount val="7"/>
                <c:pt idx="0">
                  <c:v>11548</c:v>
                </c:pt>
                <c:pt idx="1">
                  <c:v>10618</c:v>
                </c:pt>
                <c:pt idx="2">
                  <c:v>11678</c:v>
                </c:pt>
                <c:pt idx="3">
                  <c:v>15530</c:v>
                </c:pt>
                <c:pt idx="4">
                  <c:v>19465</c:v>
                </c:pt>
                <c:pt idx="5">
                  <c:v>24685</c:v>
                </c:pt>
                <c:pt idx="6">
                  <c:v>27014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données!$A$169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27 133
</a:t>
                    </a:r>
                    <a:r>
                      <a:rPr lang="en-US" cap="none" sz="11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+36%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données!$Q$167:$W$167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données!$Q$169:$V$169</c:f>
              <c:numCache>
                <c:ptCount val="6"/>
                <c:pt idx="0">
                  <c:v>20934</c:v>
                </c:pt>
                <c:pt idx="1">
                  <c:v>20035</c:v>
                </c:pt>
                <c:pt idx="2">
                  <c:v>19888</c:v>
                </c:pt>
                <c:pt idx="3">
                  <c:v>27133</c:v>
                </c:pt>
                <c:pt idx="4">
                  <c:v>36646</c:v>
                </c:pt>
                <c:pt idx="5">
                  <c:v>37655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3300"/>
        <c:crossesAt val="1"/>
        <c:crossBetween val="between"/>
        <c:dispUnits/>
        <c:majorUnit val="4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25"/>
          <c:y val="0.92675"/>
          <c:w val="0.899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Rape area / colza</a:t>
            </a:r>
          </a:p>
        </c:rich>
      </c:tx>
      <c:layout>
        <c:manualLayout>
          <c:xMode val="factor"/>
          <c:yMode val="factor"/>
          <c:x val="0.002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875"/>
          <c:w val="0.93525"/>
          <c:h val="0.812"/>
        </c:manualLayout>
      </c:layout>
      <c:lineChart>
        <c:grouping val="standard"/>
        <c:varyColors val="0"/>
        <c:ser>
          <c:idx val="1"/>
          <c:order val="0"/>
          <c:tx>
            <c:strRef>
              <c:f>données!$A$172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données!$Q$171:$W$171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données!$Q$172:$W$172</c:f>
              <c:numCache>
                <c:ptCount val="7"/>
                <c:pt idx="0">
                  <c:v>89</c:v>
                </c:pt>
                <c:pt idx="1">
                  <c:v>79.83</c:v>
                </c:pt>
                <c:pt idx="2">
                  <c:v>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données!$A$173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données!$Q$171:$W$171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données!$Q$173:$V$173</c:f>
              <c:numCache>
                <c:ptCount val="6"/>
                <c:pt idx="0">
                  <c:v>6319</c:v>
                </c:pt>
                <c:pt idx="1">
                  <c:v>5948</c:v>
                </c:pt>
                <c:pt idx="2">
                  <c:v>3835</c:v>
                </c:pt>
                <c:pt idx="3">
                  <c:v>1887</c:v>
                </c:pt>
                <c:pt idx="4">
                  <c:v>2250</c:v>
                </c:pt>
                <c:pt idx="5">
                  <c:v>2602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données!$A$174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données!$Q$171:$W$171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données!$Q$174:$V$174</c:f>
              <c:numCache>
                <c:ptCount val="6"/>
                <c:pt idx="0">
                  <c:v>0</c:v>
                </c:pt>
                <c:pt idx="1">
                  <c:v>717</c:v>
                </c:pt>
                <c:pt idx="2">
                  <c:v>820</c:v>
                </c:pt>
                <c:pt idx="3">
                  <c:v>434</c:v>
                </c:pt>
                <c:pt idx="4">
                  <c:v>0</c:v>
                </c:pt>
                <c:pt idx="5">
                  <c:v>777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données!$A$175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données!$Q$171:$W$171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données!$Q$175:$W$175</c:f>
              <c:numCache>
                <c:ptCount val="7"/>
                <c:pt idx="0">
                  <c:v>12199</c:v>
                </c:pt>
                <c:pt idx="1">
                  <c:v>12063</c:v>
                </c:pt>
                <c:pt idx="2">
                  <c:v>13639</c:v>
                </c:pt>
                <c:pt idx="3">
                  <c:v>10689</c:v>
                </c:pt>
                <c:pt idx="4">
                  <c:v>10375</c:v>
                </c:pt>
                <c:pt idx="5">
                  <c:v>9740</c:v>
                </c:pt>
                <c:pt idx="6">
                  <c:v>14411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données!$A$177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données!$Q$171:$W$171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données!$Q$177:$V$177</c:f>
              <c:numCache>
                <c:ptCount val="6"/>
                <c:pt idx="0">
                  <c:v>504</c:v>
                </c:pt>
                <c:pt idx="1">
                  <c:v>639</c:v>
                </c:pt>
                <c:pt idx="2">
                  <c:v>215</c:v>
                </c:pt>
                <c:pt idx="3">
                  <c:v>39</c:v>
                </c:pt>
                <c:pt idx="4">
                  <c:v>64</c:v>
                </c:pt>
                <c:pt idx="5">
                  <c:v>160.4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données!$A$178</c:f>
              <c:strCache>
                <c:ptCount val="1"/>
                <c:pt idx="0">
                  <c:v>Finlande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données!$Q$171:$W$171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données!$Q$178:$V$178</c:f>
              <c:numCache>
                <c:ptCount val="6"/>
                <c:pt idx="0">
                  <c:v>525</c:v>
                </c:pt>
                <c:pt idx="1">
                  <c:v>537</c:v>
                </c:pt>
                <c:pt idx="2">
                  <c:v>0</c:v>
                </c:pt>
                <c:pt idx="3">
                  <c:v>0</c:v>
                </c:pt>
                <c:pt idx="4">
                  <c:v>341</c:v>
                </c:pt>
                <c:pt idx="5">
                  <c:v>471</c:v>
                </c:pt>
              </c:numCache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886"/>
        <c:crossesAt val="1"/>
        <c:crossBetween val="between"/>
        <c:dispUnits/>
        <c:majorUnit val="40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"/>
          <c:y val="0.92425"/>
          <c:w val="0.87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surface semences de graminées UE 27 / Herbage seeds total area UE 27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"/>
          <c:y val="0.355"/>
          <c:w val="0.69325"/>
          <c:h val="0.5115"/>
        </c:manualLayout>
      </c:layout>
      <c:pie3DChart>
        <c:varyColors val="1"/>
        <c:ser>
          <c:idx val="0"/>
          <c:order val="0"/>
          <c:tx>
            <c:strRef>
              <c:f>'eu27'!$A$51</c:f>
              <c:strCache>
                <c:ptCount val="1"/>
                <c:pt idx="0">
                  <c:v>graminées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'eu27'!$B$50:$C$50</c:f>
              <c:strCache/>
            </c:strRef>
          </c:cat>
          <c:val>
            <c:numRef>
              <c:f>'eu27'!$B$51:$C$51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.53925"/>
          <c:w val="0.220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surface semences de légumineuses UE 27 / legume seeds total area EU 27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28975"/>
          <c:w val="0.65675"/>
          <c:h val="0.48475"/>
        </c:manualLayout>
      </c:layout>
      <c:pie3DChart>
        <c:varyColors val="1"/>
        <c:ser>
          <c:idx val="0"/>
          <c:order val="0"/>
          <c:tx>
            <c:strRef>
              <c:f>'eu27'!$A$54</c:f>
              <c:strCache>
                <c:ptCount val="1"/>
                <c:pt idx="0">
                  <c:v>légumineuses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'eu27'!$B$53:$C$53</c:f>
              <c:strCache/>
            </c:strRef>
          </c:cat>
          <c:val>
            <c:numRef>
              <c:f>'eu27'!$B$54:$C$54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375"/>
          <c:y val="0.81575"/>
          <c:w val="0.22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</a:rPr>
              <a:t>Comparaison surfaces  légumineuses EU 27</a:t>
            </a:r>
          </a:p>
        </c:rich>
      </c:tx>
      <c:layout>
        <c:manualLayout>
          <c:xMode val="factor"/>
          <c:yMode val="factor"/>
          <c:x val="0.115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45"/>
          <c:h val="0.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'eu27'!$B$27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'eu27'!$A$28:$A$43</c:f>
              <c:strCache>
                <c:ptCount val="16"/>
                <c:pt idx="0">
                  <c:v>HEDYSARIUM CORONARIUM L.</c:v>
                </c:pt>
                <c:pt idx="1">
                  <c:v>MEDICAGO LUPULINA L.    </c:v>
                </c:pt>
                <c:pt idx="2">
                  <c:v>MEDICAGO SATIVA L. (ECOT</c:v>
                </c:pt>
                <c:pt idx="3">
                  <c:v>MEDICAGO SATIVA L. (VARI</c:v>
                </c:pt>
                <c:pt idx="4">
                  <c:v>ONOBRICHIS VICIIFOLIA SC</c:v>
                </c:pt>
                <c:pt idx="5">
                  <c:v>PISUM SATIVUM L. PARTIM </c:v>
                </c:pt>
                <c:pt idx="6">
                  <c:v>TRIFOLIUM ALEXANDRINUM L</c:v>
                </c:pt>
                <c:pt idx="7">
                  <c:v>TRIFOLIUM HYBRIDUM L.   </c:v>
                </c:pt>
                <c:pt idx="8">
                  <c:v>TRIFOLIUM INCARNATUM L. </c:v>
                </c:pt>
                <c:pt idx="9">
                  <c:v>TRIFOLIUM PRATENSE L.   </c:v>
                </c:pt>
                <c:pt idx="10">
                  <c:v>TRIFOLIUM REPENS L.     </c:v>
                </c:pt>
                <c:pt idx="11">
                  <c:v>TRIFOLIUM REPENS L. GIGA</c:v>
                </c:pt>
                <c:pt idx="12">
                  <c:v>TRIFOLIUM RESUPINATUM L.</c:v>
                </c:pt>
                <c:pt idx="13">
                  <c:v>VICIA FABA L. PARTIM    </c:v>
                </c:pt>
                <c:pt idx="14">
                  <c:v>VICIA SATIVA L.         </c:v>
                </c:pt>
                <c:pt idx="15">
                  <c:v>VICIA VILLOSA ROTH.     </c:v>
                </c:pt>
              </c:strCache>
            </c:strRef>
          </c:cat>
          <c:val>
            <c:numRef>
              <c:f>'eu27'!$B$28:$B$43</c:f>
              <c:numCache>
                <c:ptCount val="16"/>
                <c:pt idx="0">
                  <c:v>127.06</c:v>
                </c:pt>
                <c:pt idx="1">
                  <c:v>86</c:v>
                </c:pt>
                <c:pt idx="2">
                  <c:v>2965.48</c:v>
                </c:pt>
                <c:pt idx="3">
                  <c:v>37890.32</c:v>
                </c:pt>
                <c:pt idx="4">
                  <c:v>265.8</c:v>
                </c:pt>
                <c:pt idx="5">
                  <c:v>25176.5</c:v>
                </c:pt>
                <c:pt idx="6">
                  <c:v>5030.058</c:v>
                </c:pt>
                <c:pt idx="7">
                  <c:v>228</c:v>
                </c:pt>
                <c:pt idx="8">
                  <c:v>5694.81</c:v>
                </c:pt>
                <c:pt idx="9">
                  <c:v>18684.79</c:v>
                </c:pt>
                <c:pt idx="10">
                  <c:v>4933</c:v>
                </c:pt>
                <c:pt idx="11">
                  <c:v>0</c:v>
                </c:pt>
                <c:pt idx="12">
                  <c:v>412.38</c:v>
                </c:pt>
                <c:pt idx="13">
                  <c:v>15329.28</c:v>
                </c:pt>
                <c:pt idx="14">
                  <c:v>23509.49</c:v>
                </c:pt>
                <c:pt idx="15">
                  <c:v>1151.28</c:v>
                </c:pt>
              </c:numCache>
            </c:numRef>
          </c:val>
        </c:ser>
        <c:ser>
          <c:idx val="2"/>
          <c:order val="1"/>
          <c:tx>
            <c:strRef>
              <c:f>'eu27'!$C$27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'eu27'!$A$28:$A$43</c:f>
              <c:strCache>
                <c:ptCount val="16"/>
                <c:pt idx="0">
                  <c:v>HEDYSARIUM CORONARIUM L.</c:v>
                </c:pt>
                <c:pt idx="1">
                  <c:v>MEDICAGO LUPULINA L.    </c:v>
                </c:pt>
                <c:pt idx="2">
                  <c:v>MEDICAGO SATIVA L. (ECOT</c:v>
                </c:pt>
                <c:pt idx="3">
                  <c:v>MEDICAGO SATIVA L. (VARI</c:v>
                </c:pt>
                <c:pt idx="4">
                  <c:v>ONOBRICHIS VICIIFOLIA SC</c:v>
                </c:pt>
                <c:pt idx="5">
                  <c:v>PISUM SATIVUM L. PARTIM </c:v>
                </c:pt>
                <c:pt idx="6">
                  <c:v>TRIFOLIUM ALEXANDRINUM L</c:v>
                </c:pt>
                <c:pt idx="7">
                  <c:v>TRIFOLIUM HYBRIDUM L.   </c:v>
                </c:pt>
                <c:pt idx="8">
                  <c:v>TRIFOLIUM INCARNATUM L. </c:v>
                </c:pt>
                <c:pt idx="9">
                  <c:v>TRIFOLIUM PRATENSE L.   </c:v>
                </c:pt>
                <c:pt idx="10">
                  <c:v>TRIFOLIUM REPENS L.     </c:v>
                </c:pt>
                <c:pt idx="11">
                  <c:v>TRIFOLIUM REPENS L. GIGA</c:v>
                </c:pt>
                <c:pt idx="12">
                  <c:v>TRIFOLIUM RESUPINATUM L.</c:v>
                </c:pt>
                <c:pt idx="13">
                  <c:v>VICIA FABA L. PARTIM    </c:v>
                </c:pt>
                <c:pt idx="14">
                  <c:v>VICIA SATIVA L.         </c:v>
                </c:pt>
                <c:pt idx="15">
                  <c:v>VICIA VILLOSA ROTH.     </c:v>
                </c:pt>
              </c:strCache>
            </c:strRef>
          </c:cat>
          <c:val>
            <c:numRef>
              <c:f>'eu27'!$C$28:$C$43</c:f>
              <c:numCache>
                <c:ptCount val="16"/>
                <c:pt idx="0">
                  <c:v>185</c:v>
                </c:pt>
                <c:pt idx="1">
                  <c:v>100</c:v>
                </c:pt>
                <c:pt idx="2">
                  <c:v>3957</c:v>
                </c:pt>
                <c:pt idx="3">
                  <c:v>40534</c:v>
                </c:pt>
                <c:pt idx="4">
                  <c:v>326</c:v>
                </c:pt>
                <c:pt idx="5">
                  <c:v>28803</c:v>
                </c:pt>
                <c:pt idx="6">
                  <c:v>5542</c:v>
                </c:pt>
                <c:pt idx="7">
                  <c:v>207</c:v>
                </c:pt>
                <c:pt idx="8">
                  <c:v>5486</c:v>
                </c:pt>
                <c:pt idx="9">
                  <c:v>19423</c:v>
                </c:pt>
                <c:pt idx="10">
                  <c:v>4801</c:v>
                </c:pt>
                <c:pt idx="11">
                  <c:v>0</c:v>
                </c:pt>
                <c:pt idx="12">
                  <c:v>1145</c:v>
                </c:pt>
                <c:pt idx="13">
                  <c:v>12828</c:v>
                </c:pt>
                <c:pt idx="14">
                  <c:v>25089</c:v>
                </c:pt>
                <c:pt idx="15">
                  <c:v>881</c:v>
                </c:pt>
              </c:numCache>
            </c:numRef>
          </c:val>
        </c:ser>
        <c:ser>
          <c:idx val="0"/>
          <c:order val="2"/>
          <c:tx>
            <c:strRef>
              <c:f>'eu27'!$D$27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'eu27'!$A$28:$A$43</c:f>
              <c:strCache>
                <c:ptCount val="16"/>
                <c:pt idx="0">
                  <c:v>HEDYSARIUM CORONARIUM L.</c:v>
                </c:pt>
                <c:pt idx="1">
                  <c:v>MEDICAGO LUPULINA L.    </c:v>
                </c:pt>
                <c:pt idx="2">
                  <c:v>MEDICAGO SATIVA L. (ECOT</c:v>
                </c:pt>
                <c:pt idx="3">
                  <c:v>MEDICAGO SATIVA L. (VARI</c:v>
                </c:pt>
                <c:pt idx="4">
                  <c:v>ONOBRICHIS VICIIFOLIA SC</c:v>
                </c:pt>
                <c:pt idx="5">
                  <c:v>PISUM SATIVUM L. PARTIM </c:v>
                </c:pt>
                <c:pt idx="6">
                  <c:v>TRIFOLIUM ALEXANDRINUM L</c:v>
                </c:pt>
                <c:pt idx="7">
                  <c:v>TRIFOLIUM HYBRIDUM L.   </c:v>
                </c:pt>
                <c:pt idx="8">
                  <c:v>TRIFOLIUM INCARNATUM L. </c:v>
                </c:pt>
                <c:pt idx="9">
                  <c:v>TRIFOLIUM PRATENSE L.   </c:v>
                </c:pt>
                <c:pt idx="10">
                  <c:v>TRIFOLIUM REPENS L.     </c:v>
                </c:pt>
                <c:pt idx="11">
                  <c:v>TRIFOLIUM REPENS L. GIGA</c:v>
                </c:pt>
                <c:pt idx="12">
                  <c:v>TRIFOLIUM RESUPINATUM L.</c:v>
                </c:pt>
                <c:pt idx="13">
                  <c:v>VICIA FABA L. PARTIM    </c:v>
                </c:pt>
                <c:pt idx="14">
                  <c:v>VICIA SATIVA L.         </c:v>
                </c:pt>
                <c:pt idx="15">
                  <c:v>VICIA VILLOSA ROTH.     </c:v>
                </c:pt>
              </c:strCache>
            </c:strRef>
          </c:cat>
          <c:val>
            <c:numRef>
              <c:f>'eu27'!$D$28:$D$43</c:f>
              <c:numCache>
                <c:ptCount val="16"/>
                <c:pt idx="0">
                  <c:v>141.85</c:v>
                </c:pt>
                <c:pt idx="1">
                  <c:v>36</c:v>
                </c:pt>
                <c:pt idx="2">
                  <c:v>2525.06</c:v>
                </c:pt>
                <c:pt idx="3">
                  <c:v>41522.68</c:v>
                </c:pt>
                <c:pt idx="4">
                  <c:v>95.99</c:v>
                </c:pt>
                <c:pt idx="5">
                  <c:v>23952.65</c:v>
                </c:pt>
                <c:pt idx="6">
                  <c:v>5810.63</c:v>
                </c:pt>
                <c:pt idx="7">
                  <c:v>225.75</c:v>
                </c:pt>
                <c:pt idx="8">
                  <c:v>5230.36</c:v>
                </c:pt>
                <c:pt idx="9">
                  <c:v>15890.609999999997</c:v>
                </c:pt>
                <c:pt idx="10">
                  <c:v>4726.55</c:v>
                </c:pt>
                <c:pt idx="11">
                  <c:v>0</c:v>
                </c:pt>
                <c:pt idx="12">
                  <c:v>912.0799999999999</c:v>
                </c:pt>
                <c:pt idx="13">
                  <c:v>11984</c:v>
                </c:pt>
                <c:pt idx="14">
                  <c:v>22696.04</c:v>
                </c:pt>
                <c:pt idx="15">
                  <c:v>1409.84</c:v>
                </c:pt>
              </c:numCache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7287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1495"/>
          <c:w val="0.0607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</a:rPr>
              <a:t>Comparaison surfaces graminées EU 27</a:t>
            </a:r>
          </a:p>
        </c:rich>
      </c:tx>
      <c:layout>
        <c:manualLayout>
          <c:xMode val="factor"/>
          <c:yMode val="factor"/>
          <c:x val="0.106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95"/>
          <c:w val="0.9755"/>
          <c:h val="0.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'eu27'!$B$4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'eu27'!$A$5:$A$23</c:f>
              <c:strCache>
                <c:ptCount val="19"/>
                <c:pt idx="0">
                  <c:v>AGROSTIS CANINA L.    </c:v>
                </c:pt>
                <c:pt idx="1">
                  <c:v>AGROSTIS GIGANTEA ROTH. </c:v>
                </c:pt>
                <c:pt idx="2">
                  <c:v>AGROSTIS STOLONIFERA L. </c:v>
                </c:pt>
                <c:pt idx="3">
                  <c:v>AGROSTIS TENUIS.CAPILL.</c:v>
                </c:pt>
                <c:pt idx="4">
                  <c:v>ARRHENATHERUM ELATIUS L </c:v>
                </c:pt>
                <c:pt idx="5">
                  <c:v>DACTYLIS GLOMERATA L.   </c:v>
                </c:pt>
                <c:pt idx="6">
                  <c:v>FESTUCA ARUNDINACAE SCH.</c:v>
                </c:pt>
                <c:pt idx="7">
                  <c:v>FESTUCA OVINA L.        </c:v>
                </c:pt>
                <c:pt idx="8">
                  <c:v>FESTUCA PRATENSIS HUDS. </c:v>
                </c:pt>
                <c:pt idx="9">
                  <c:v>FESTUCA RUBRA L.        </c:v>
                </c:pt>
                <c:pt idx="10">
                  <c:v>FESTULOLIUM</c:v>
                </c:pt>
                <c:pt idx="11">
                  <c:v>LOLIUM MULTIFLORUM LAM. </c:v>
                </c:pt>
                <c:pt idx="12">
                  <c:v>LOLIUM PER. L. </c:v>
                </c:pt>
                <c:pt idx="13">
                  <c:v>LOLIUM X BOUCHEANUM</c:v>
                </c:pt>
                <c:pt idx="14">
                  <c:v>PHLEUM BERTOLONII (DC)  </c:v>
                </c:pt>
                <c:pt idx="15">
                  <c:v>PHLEUM PRATENSE L.      </c:v>
                </c:pt>
                <c:pt idx="16">
                  <c:v>POA NEMORALIS L.</c:v>
                </c:pt>
                <c:pt idx="17">
                  <c:v>POA PRATENSIS L.</c:v>
                </c:pt>
                <c:pt idx="18">
                  <c:v>POA TRIVIALIS L.et PALUSTRIS       </c:v>
                </c:pt>
              </c:strCache>
            </c:strRef>
          </c:cat>
          <c:val>
            <c:numRef>
              <c:f>'eu27'!$B$5:$B$23</c:f>
              <c:numCache>
                <c:ptCount val="19"/>
                <c:pt idx="0">
                  <c:v>24</c:v>
                </c:pt>
                <c:pt idx="1">
                  <c:v>226.6</c:v>
                </c:pt>
                <c:pt idx="2">
                  <c:v>109</c:v>
                </c:pt>
                <c:pt idx="3">
                  <c:v>292.1</c:v>
                </c:pt>
                <c:pt idx="4">
                  <c:v>376.75</c:v>
                </c:pt>
                <c:pt idx="5">
                  <c:v>11398</c:v>
                </c:pt>
                <c:pt idx="6">
                  <c:v>16705</c:v>
                </c:pt>
                <c:pt idx="7">
                  <c:v>3095</c:v>
                </c:pt>
                <c:pt idx="8">
                  <c:v>9409</c:v>
                </c:pt>
                <c:pt idx="9">
                  <c:v>32300</c:v>
                </c:pt>
                <c:pt idx="10">
                  <c:v>2605</c:v>
                </c:pt>
                <c:pt idx="11">
                  <c:v>38762</c:v>
                </c:pt>
                <c:pt idx="12">
                  <c:v>68742</c:v>
                </c:pt>
                <c:pt idx="13">
                  <c:v>4042.92</c:v>
                </c:pt>
                <c:pt idx="14">
                  <c:v>20.2</c:v>
                </c:pt>
                <c:pt idx="15">
                  <c:v>16211</c:v>
                </c:pt>
                <c:pt idx="16">
                  <c:v>41.9</c:v>
                </c:pt>
                <c:pt idx="17">
                  <c:v>9239</c:v>
                </c:pt>
                <c:pt idx="18">
                  <c:v>72.7</c:v>
                </c:pt>
              </c:numCache>
            </c:numRef>
          </c:val>
        </c:ser>
        <c:ser>
          <c:idx val="2"/>
          <c:order val="1"/>
          <c:tx>
            <c:strRef>
              <c:f>'eu27'!$C$4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'eu27'!$A$5:$A$23</c:f>
              <c:strCache>
                <c:ptCount val="19"/>
                <c:pt idx="0">
                  <c:v>AGROSTIS CANINA L.    </c:v>
                </c:pt>
                <c:pt idx="1">
                  <c:v>AGROSTIS GIGANTEA ROTH. </c:v>
                </c:pt>
                <c:pt idx="2">
                  <c:v>AGROSTIS STOLONIFERA L. </c:v>
                </c:pt>
                <c:pt idx="3">
                  <c:v>AGROSTIS TENUIS.CAPILL.</c:v>
                </c:pt>
                <c:pt idx="4">
                  <c:v>ARRHENATHERUM ELATIUS L </c:v>
                </c:pt>
                <c:pt idx="5">
                  <c:v>DACTYLIS GLOMERATA L.   </c:v>
                </c:pt>
                <c:pt idx="6">
                  <c:v>FESTUCA ARUNDINACAE SCH.</c:v>
                </c:pt>
                <c:pt idx="7">
                  <c:v>FESTUCA OVINA L.        </c:v>
                </c:pt>
                <c:pt idx="8">
                  <c:v>FESTUCA PRATENSIS HUDS. </c:v>
                </c:pt>
                <c:pt idx="9">
                  <c:v>FESTUCA RUBRA L.        </c:v>
                </c:pt>
                <c:pt idx="10">
                  <c:v>FESTULOLIUM</c:v>
                </c:pt>
                <c:pt idx="11">
                  <c:v>LOLIUM MULTIFLORUM LAM. </c:v>
                </c:pt>
                <c:pt idx="12">
                  <c:v>LOLIUM PER. L. </c:v>
                </c:pt>
                <c:pt idx="13">
                  <c:v>LOLIUM X BOUCHEANUM</c:v>
                </c:pt>
                <c:pt idx="14">
                  <c:v>PHLEUM BERTOLONII (DC)  </c:v>
                </c:pt>
                <c:pt idx="15">
                  <c:v>PHLEUM PRATENSE L.      </c:v>
                </c:pt>
                <c:pt idx="16">
                  <c:v>POA NEMORALIS L.</c:v>
                </c:pt>
                <c:pt idx="17">
                  <c:v>POA PRATENSIS L.</c:v>
                </c:pt>
                <c:pt idx="18">
                  <c:v>POA TRIVIALIS L.et PALUSTRIS       </c:v>
                </c:pt>
              </c:strCache>
            </c:strRef>
          </c:cat>
          <c:val>
            <c:numRef>
              <c:f>'eu27'!$C$5:$C$23</c:f>
              <c:numCache>
                <c:ptCount val="19"/>
                <c:pt idx="0">
                  <c:v>0</c:v>
                </c:pt>
                <c:pt idx="1">
                  <c:v>190</c:v>
                </c:pt>
                <c:pt idx="2">
                  <c:v>203</c:v>
                </c:pt>
                <c:pt idx="3">
                  <c:v>188</c:v>
                </c:pt>
                <c:pt idx="4">
                  <c:v>339</c:v>
                </c:pt>
                <c:pt idx="5">
                  <c:v>5976</c:v>
                </c:pt>
                <c:pt idx="6">
                  <c:v>11142</c:v>
                </c:pt>
                <c:pt idx="7">
                  <c:v>2976</c:v>
                </c:pt>
                <c:pt idx="8">
                  <c:v>6674</c:v>
                </c:pt>
                <c:pt idx="9">
                  <c:v>27873</c:v>
                </c:pt>
                <c:pt idx="10">
                  <c:v>1208</c:v>
                </c:pt>
                <c:pt idx="11">
                  <c:v>31424</c:v>
                </c:pt>
                <c:pt idx="12">
                  <c:v>54530</c:v>
                </c:pt>
                <c:pt idx="13">
                  <c:v>2152</c:v>
                </c:pt>
                <c:pt idx="14">
                  <c:v>31</c:v>
                </c:pt>
                <c:pt idx="15">
                  <c:v>14486</c:v>
                </c:pt>
                <c:pt idx="16">
                  <c:v>66</c:v>
                </c:pt>
                <c:pt idx="17">
                  <c:v>9601</c:v>
                </c:pt>
                <c:pt idx="18">
                  <c:v>147</c:v>
                </c:pt>
              </c:numCache>
            </c:numRef>
          </c:val>
        </c:ser>
        <c:ser>
          <c:idx val="0"/>
          <c:order val="2"/>
          <c:tx>
            <c:strRef>
              <c:f>'eu27'!$D$4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'eu27'!$A$5:$A$23</c:f>
              <c:strCache>
                <c:ptCount val="19"/>
                <c:pt idx="0">
                  <c:v>AGROSTIS CANINA L.    </c:v>
                </c:pt>
                <c:pt idx="1">
                  <c:v>AGROSTIS GIGANTEA ROTH. </c:v>
                </c:pt>
                <c:pt idx="2">
                  <c:v>AGROSTIS STOLONIFERA L. </c:v>
                </c:pt>
                <c:pt idx="3">
                  <c:v>AGROSTIS TENUIS.CAPILL.</c:v>
                </c:pt>
                <c:pt idx="4">
                  <c:v>ARRHENATHERUM ELATIUS L </c:v>
                </c:pt>
                <c:pt idx="5">
                  <c:v>DACTYLIS GLOMERATA L.   </c:v>
                </c:pt>
                <c:pt idx="6">
                  <c:v>FESTUCA ARUNDINACAE SCH.</c:v>
                </c:pt>
                <c:pt idx="7">
                  <c:v>FESTUCA OVINA L.        </c:v>
                </c:pt>
                <c:pt idx="8">
                  <c:v>FESTUCA PRATENSIS HUDS. </c:v>
                </c:pt>
                <c:pt idx="9">
                  <c:v>FESTUCA RUBRA L.        </c:v>
                </c:pt>
                <c:pt idx="10">
                  <c:v>FESTULOLIUM</c:v>
                </c:pt>
                <c:pt idx="11">
                  <c:v>LOLIUM MULTIFLORUM LAM. </c:v>
                </c:pt>
                <c:pt idx="12">
                  <c:v>LOLIUM PER. L. </c:v>
                </c:pt>
                <c:pt idx="13">
                  <c:v>LOLIUM X BOUCHEANUM</c:v>
                </c:pt>
                <c:pt idx="14">
                  <c:v>PHLEUM BERTOLONII (DC)  </c:v>
                </c:pt>
                <c:pt idx="15">
                  <c:v>PHLEUM PRATENSE L.      </c:v>
                </c:pt>
                <c:pt idx="16">
                  <c:v>POA NEMORALIS L.</c:v>
                </c:pt>
                <c:pt idx="17">
                  <c:v>POA PRATENSIS L.</c:v>
                </c:pt>
                <c:pt idx="18">
                  <c:v>POA TRIVIALIS L.et PALUSTRIS       </c:v>
                </c:pt>
              </c:strCache>
            </c:strRef>
          </c:cat>
          <c:val>
            <c:numRef>
              <c:f>'eu27'!$D$5:$D$23</c:f>
              <c:numCache>
                <c:ptCount val="19"/>
                <c:pt idx="0">
                  <c:v>0</c:v>
                </c:pt>
                <c:pt idx="1">
                  <c:v>212.39</c:v>
                </c:pt>
                <c:pt idx="2">
                  <c:v>154.5</c:v>
                </c:pt>
                <c:pt idx="3">
                  <c:v>143.6</c:v>
                </c:pt>
                <c:pt idx="4">
                  <c:v>351.89</c:v>
                </c:pt>
                <c:pt idx="5">
                  <c:v>3765.4199999999996</c:v>
                </c:pt>
                <c:pt idx="6">
                  <c:v>7775.23</c:v>
                </c:pt>
                <c:pt idx="7">
                  <c:v>3003.38</c:v>
                </c:pt>
                <c:pt idx="8">
                  <c:v>5444.709999999999</c:v>
                </c:pt>
                <c:pt idx="9">
                  <c:v>25920.764</c:v>
                </c:pt>
                <c:pt idx="10">
                  <c:v>1372.5099999999998</c:v>
                </c:pt>
                <c:pt idx="11">
                  <c:v>34603.91</c:v>
                </c:pt>
                <c:pt idx="12">
                  <c:v>54508.909999999996</c:v>
                </c:pt>
                <c:pt idx="13">
                  <c:v>2501.92</c:v>
                </c:pt>
                <c:pt idx="14">
                  <c:v>24.75</c:v>
                </c:pt>
                <c:pt idx="15">
                  <c:v>14488.75</c:v>
                </c:pt>
                <c:pt idx="16">
                  <c:v>127.41</c:v>
                </c:pt>
                <c:pt idx="17">
                  <c:v>9906.56</c:v>
                </c:pt>
                <c:pt idx="18">
                  <c:v>140.32</c:v>
                </c:pt>
              </c:numCache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6276725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28025"/>
          <c:w val="0.236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durum wheat areas / blé dur</a:t>
            </a:r>
          </a:p>
        </c:rich>
      </c:tx>
      <c:layout>
        <c:manualLayout>
          <c:xMode val="factor"/>
          <c:yMode val="factor"/>
          <c:x val="0.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35"/>
          <c:w val="0.962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données!$Q$12:$W$12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données!$Q$13:$W$13</c:f>
              <c:numCache>
                <c:ptCount val="7"/>
                <c:pt idx="0">
                  <c:v>14050</c:v>
                </c:pt>
                <c:pt idx="1">
                  <c:v>13586</c:v>
                </c:pt>
                <c:pt idx="2">
                  <c:v>12623</c:v>
                </c:pt>
                <c:pt idx="3">
                  <c:v>12609</c:v>
                </c:pt>
                <c:pt idx="4">
                  <c:v>13155</c:v>
                </c:pt>
                <c:pt idx="5">
                  <c:v>13410</c:v>
                </c:pt>
                <c:pt idx="6">
                  <c:v>10498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données!$A$14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données!$Q$12:$W$12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données!$Q$14:$W$14</c:f>
              <c:numCache>
                <c:ptCount val="7"/>
                <c:pt idx="0">
                  <c:v>73672</c:v>
                </c:pt>
                <c:pt idx="1">
                  <c:v>72958</c:v>
                </c:pt>
                <c:pt idx="2">
                  <c:v>67907</c:v>
                </c:pt>
                <c:pt idx="3">
                  <c:v>70948</c:v>
                </c:pt>
                <c:pt idx="4">
                  <c:v>83785</c:v>
                </c:pt>
                <c:pt idx="5">
                  <c:v>64105</c:v>
                </c:pt>
                <c:pt idx="6">
                  <c:v>58955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5715"/>
        <c:crosses val="autoZero"/>
        <c:auto val="0"/>
        <c:lblOffset val="300"/>
        <c:tickLblSkip val="1"/>
        <c:noMultiLvlLbl val="0"/>
      </c:catAx>
      <c:valAx>
        <c:axId val="158257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034"/>
        <c:crossesAt val="1"/>
        <c:crossBetween val="between"/>
        <c:dispUnits/>
        <c:minorUnit val="10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"/>
          <c:y val="0.9375"/>
          <c:w val="0.178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winter barley area / orge d'hiver</a:t>
            </a:r>
          </a:p>
        </c:rich>
      </c:tx>
      <c:layout>
        <c:manualLayout>
          <c:xMode val="factor"/>
          <c:yMode val="factor"/>
          <c:x val="0.03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83"/>
          <c:w val="0.924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données!$A$19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9933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données!$Q$18:$W$18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données!$Q$19:$W$19</c:f>
              <c:numCache>
                <c:ptCount val="7"/>
                <c:pt idx="0">
                  <c:v>0</c:v>
                </c:pt>
                <c:pt idx="1">
                  <c:v>1143.51</c:v>
                </c:pt>
                <c:pt idx="2">
                  <c:v>1206</c:v>
                </c:pt>
                <c:pt idx="3">
                  <c:v>1231</c:v>
                </c:pt>
                <c:pt idx="4">
                  <c:v>0</c:v>
                </c:pt>
                <c:pt idx="5">
                  <c:v>0</c:v>
                </c:pt>
                <c:pt idx="6">
                  <c:v>1220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données!$A$20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noFill/>
              </a:ln>
            </c:spPr>
          </c:marker>
          <c:cat>
            <c:strRef>
              <c:f>données!$Q$18:$W$18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données!$Q$20:$V$20</c:f>
              <c:numCache>
                <c:ptCount val="6"/>
                <c:pt idx="0">
                  <c:v>24524</c:v>
                </c:pt>
                <c:pt idx="1">
                  <c:v>29031</c:v>
                </c:pt>
                <c:pt idx="2">
                  <c:v>26009</c:v>
                </c:pt>
                <c:pt idx="3">
                  <c:v>24606</c:v>
                </c:pt>
                <c:pt idx="4">
                  <c:v>18762</c:v>
                </c:pt>
                <c:pt idx="5">
                  <c:v>20941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données!$A$21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données!$Q$18:$W$18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données!$Q$21:$V$21</c:f>
              <c:numCache>
                <c:ptCount val="6"/>
                <c:pt idx="0">
                  <c:v>4704</c:v>
                </c:pt>
                <c:pt idx="1">
                  <c:v>3717</c:v>
                </c:pt>
                <c:pt idx="2">
                  <c:v>4654.1900000000005</c:v>
                </c:pt>
                <c:pt idx="3">
                  <c:v>8027</c:v>
                </c:pt>
                <c:pt idx="4">
                  <c:v>3531</c:v>
                </c:pt>
                <c:pt idx="5">
                  <c:v>4361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données!$A$22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données!$Q$18:$W$18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données!$Q$22:$W$22</c:f>
              <c:numCache>
                <c:ptCount val="7"/>
                <c:pt idx="0">
                  <c:v>22762</c:v>
                </c:pt>
                <c:pt idx="1">
                  <c:v>23950</c:v>
                </c:pt>
                <c:pt idx="2">
                  <c:v>21383</c:v>
                </c:pt>
                <c:pt idx="3">
                  <c:v>26642</c:v>
                </c:pt>
                <c:pt idx="4">
                  <c:v>23616</c:v>
                </c:pt>
                <c:pt idx="5">
                  <c:v>23683</c:v>
                </c:pt>
                <c:pt idx="6">
                  <c:v>21266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données!$A$23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données!$Q$18:$W$18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données!$Q$23:$V$23</c:f>
              <c:numCache>
                <c:ptCount val="6"/>
                <c:pt idx="0">
                  <c:v>613</c:v>
                </c:pt>
                <c:pt idx="1">
                  <c:v>605</c:v>
                </c:pt>
                <c:pt idx="2">
                  <c:v>550</c:v>
                </c:pt>
                <c:pt idx="3">
                  <c:v>453</c:v>
                </c:pt>
                <c:pt idx="4">
                  <c:v>698</c:v>
                </c:pt>
                <c:pt idx="5">
                  <c:v>519.9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données!$A$24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25400">
                <a:solidFill>
                  <a:srgbClr val="339933"/>
                </a:solidFill>
              </a:ln>
            </c:spPr>
            <c:marker>
              <c:symbol val="plus"/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9 334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10 173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données!$Q$18:$W$18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données!$Q$24:$W$24</c:f>
              <c:numCache>
                <c:ptCount val="7"/>
                <c:pt idx="0">
                  <c:v>9694</c:v>
                </c:pt>
                <c:pt idx="1">
                  <c:v>11947</c:v>
                </c:pt>
                <c:pt idx="2">
                  <c:v>13565.470000000001</c:v>
                </c:pt>
                <c:pt idx="3">
                  <c:v>9334.32</c:v>
                </c:pt>
                <c:pt idx="4">
                  <c:v>10271</c:v>
                </c:pt>
                <c:pt idx="5">
                  <c:v>9972.94</c:v>
                </c:pt>
                <c:pt idx="6">
                  <c:v>8863.439999999999</c:v>
                </c:pt>
              </c:numCache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4509"/>
        <c:crosses val="autoZero"/>
        <c:auto val="1"/>
        <c:lblOffset val="500"/>
        <c:tickLblSkip val="1"/>
        <c:noMultiLvlLbl val="0"/>
      </c:catAx>
      <c:valAx>
        <c:axId val="6814509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708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5"/>
          <c:y val="0.94475"/>
          <c:w val="0.711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summer barley area / orge de printemps</a:t>
            </a:r>
          </a:p>
        </c:rich>
      </c:tx>
      <c:layout>
        <c:manualLayout>
          <c:xMode val="factor"/>
          <c:yMode val="factor"/>
          <c:x val="-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9625"/>
          <c:w val="0.89625"/>
          <c:h val="0.80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données!$A$28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données!$Q$27:$W$27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données!$Q$28:$V$28</c:f>
              <c:numCache>
                <c:ptCount val="6"/>
                <c:pt idx="0">
                  <c:v>10073</c:v>
                </c:pt>
                <c:pt idx="1">
                  <c:v>9480</c:v>
                </c:pt>
                <c:pt idx="2">
                  <c:v>8292</c:v>
                </c:pt>
                <c:pt idx="3">
                  <c:v>8083</c:v>
                </c:pt>
                <c:pt idx="4">
                  <c:v>7759</c:v>
                </c:pt>
                <c:pt idx="5">
                  <c:v>8111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données!$A$29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données!$Q$27:$W$27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données!$Q$29:$V$29</c:f>
              <c:numCache>
                <c:ptCount val="6"/>
                <c:pt idx="0">
                  <c:v>27764</c:v>
                </c:pt>
                <c:pt idx="1">
                  <c:v>26709</c:v>
                </c:pt>
                <c:pt idx="2">
                  <c:v>25251</c:v>
                </c:pt>
                <c:pt idx="3">
                  <c:v>28777</c:v>
                </c:pt>
                <c:pt idx="4">
                  <c:v>24702</c:v>
                </c:pt>
                <c:pt idx="5">
                  <c:v>25067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données!$A$30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données!$Q$27:$W$27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données!$Q$30:$W$30</c:f>
              <c:numCache>
                <c:ptCount val="7"/>
                <c:pt idx="0">
                  <c:v>12733</c:v>
                </c:pt>
                <c:pt idx="1">
                  <c:v>13636</c:v>
                </c:pt>
                <c:pt idx="2">
                  <c:v>19257</c:v>
                </c:pt>
                <c:pt idx="3">
                  <c:v>13925</c:v>
                </c:pt>
                <c:pt idx="4">
                  <c:v>12404</c:v>
                </c:pt>
                <c:pt idx="5">
                  <c:v>12550</c:v>
                </c:pt>
                <c:pt idx="6">
                  <c:v>2687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données!$A$31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données!$Q$27:$W$27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données!$Q$31:$V$31</c:f>
              <c:numCache>
                <c:ptCount val="6"/>
                <c:pt idx="0">
                  <c:v>17487</c:v>
                </c:pt>
                <c:pt idx="1">
                  <c:v>17093</c:v>
                </c:pt>
                <c:pt idx="2">
                  <c:v>13860</c:v>
                </c:pt>
                <c:pt idx="3">
                  <c:v>13414</c:v>
                </c:pt>
                <c:pt idx="4">
                  <c:v>12884</c:v>
                </c:pt>
                <c:pt idx="5">
                  <c:v>12716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données!$A$32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81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données!$Q$27:$W$27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données!$Q$32:$W$32</c:f>
              <c:numCache>
                <c:ptCount val="7"/>
                <c:pt idx="0">
                  <c:v>20665</c:v>
                </c:pt>
                <c:pt idx="1">
                  <c:v>22856</c:v>
                </c:pt>
                <c:pt idx="2">
                  <c:v>19091.71</c:v>
                </c:pt>
                <c:pt idx="3">
                  <c:v>18348.22</c:v>
                </c:pt>
                <c:pt idx="4">
                  <c:v>17934</c:v>
                </c:pt>
                <c:pt idx="5">
                  <c:v>20248.759999999995</c:v>
                </c:pt>
                <c:pt idx="6">
                  <c:v>20510</c:v>
                </c:pt>
              </c:numCache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327"/>
        <c:crosses val="autoZero"/>
        <c:auto val="1"/>
        <c:lblOffset val="500"/>
        <c:tickLblSkip val="1"/>
        <c:noMultiLvlLbl val="0"/>
      </c:catAx>
      <c:valAx>
        <c:axId val="15104327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At val="1"/>
        <c:crossBetween val="between"/>
        <c:dispUnits/>
        <c:minorUnit val="2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94275"/>
          <c:w val="0.8482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tritical area / triticale</a:t>
            </a:r>
          </a:p>
        </c:rich>
      </c:tx>
      <c:layout>
        <c:manualLayout>
          <c:xMode val="factor"/>
          <c:yMode val="factor"/>
          <c:x val="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75"/>
          <c:w val="0.939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données!$A$36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données!$Q$35:$W$35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données!$Q$36:$W$36</c:f>
              <c:numCache>
                <c:ptCount val="7"/>
                <c:pt idx="0">
                  <c:v>222.5</c:v>
                </c:pt>
                <c:pt idx="1">
                  <c:v>211.15</c:v>
                </c:pt>
                <c:pt idx="2">
                  <c:v>153</c:v>
                </c:pt>
                <c:pt idx="3">
                  <c:v>142</c:v>
                </c:pt>
                <c:pt idx="4">
                  <c:v>170</c:v>
                </c:pt>
                <c:pt idx="5">
                  <c:v>227</c:v>
                </c:pt>
                <c:pt idx="6">
                  <c:v>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données!$A$37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données!$Q$35:$W$35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données!$Q$37:$V$37</c:f>
              <c:numCache>
                <c:ptCount val="6"/>
                <c:pt idx="0">
                  <c:v>11033</c:v>
                </c:pt>
                <c:pt idx="1">
                  <c:v>11742</c:v>
                </c:pt>
                <c:pt idx="2">
                  <c:v>10298</c:v>
                </c:pt>
                <c:pt idx="3">
                  <c:v>10106</c:v>
                </c:pt>
                <c:pt idx="4">
                  <c:v>10301</c:v>
                </c:pt>
                <c:pt idx="5">
                  <c:v>11041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données!$A$38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données!$Q$35:$W$35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données!$Q$38:$V$38</c:f>
              <c:numCache>
                <c:ptCount val="6"/>
                <c:pt idx="0">
                  <c:v>949</c:v>
                </c:pt>
                <c:pt idx="1">
                  <c:v>649</c:v>
                </c:pt>
                <c:pt idx="2">
                  <c:v>423</c:v>
                </c:pt>
                <c:pt idx="3">
                  <c:v>822</c:v>
                </c:pt>
                <c:pt idx="4">
                  <c:v>273</c:v>
                </c:pt>
                <c:pt idx="5">
                  <c:v>270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données!$A$39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données!$Q$35:$W$35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données!$Q$39:$W$39</c:f>
              <c:numCache>
                <c:ptCount val="7"/>
                <c:pt idx="0">
                  <c:v>8614</c:v>
                </c:pt>
                <c:pt idx="1">
                  <c:v>8454</c:v>
                </c:pt>
                <c:pt idx="2">
                  <c:v>9684</c:v>
                </c:pt>
                <c:pt idx="3">
                  <c:v>9908</c:v>
                </c:pt>
                <c:pt idx="4">
                  <c:v>8035</c:v>
                </c:pt>
                <c:pt idx="5">
                  <c:v>7093</c:v>
                </c:pt>
                <c:pt idx="6">
                  <c:v>7062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données!$A$40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données!$Q$35:$W$35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données!$Q$40:$V$40</c:f>
              <c:numCache>
                <c:ptCount val="6"/>
                <c:pt idx="0">
                  <c:v>1939</c:v>
                </c:pt>
                <c:pt idx="1">
                  <c:v>1886</c:v>
                </c:pt>
                <c:pt idx="2">
                  <c:v>2387</c:v>
                </c:pt>
                <c:pt idx="3">
                  <c:v>1940</c:v>
                </c:pt>
                <c:pt idx="4">
                  <c:v>1412</c:v>
                </c:pt>
                <c:pt idx="5">
                  <c:v>1143.7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données!$A$42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00808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données!$Q$35:$W$35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données!$Q$42:$W$42</c:f>
              <c:numCache>
                <c:ptCount val="7"/>
                <c:pt idx="0">
                  <c:v>552</c:v>
                </c:pt>
                <c:pt idx="1">
                  <c:v>1000</c:v>
                </c:pt>
                <c:pt idx="2">
                  <c:v>664</c:v>
                </c:pt>
                <c:pt idx="3">
                  <c:v>663</c:v>
                </c:pt>
                <c:pt idx="4">
                  <c:v>494</c:v>
                </c:pt>
                <c:pt idx="5">
                  <c:v>240</c:v>
                </c:pt>
                <c:pt idx="6">
                  <c:v>64.5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 val="autoZero"/>
        <c:auto val="1"/>
        <c:lblOffset val="1000"/>
        <c:tickLblSkip val="1"/>
        <c:noMultiLvlLbl val="0"/>
      </c:catAx>
      <c:valAx>
        <c:axId val="15490945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6CAF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At val="1"/>
        <c:crossBetween val="between"/>
        <c:dispUnits/>
        <c:minorUnit val="1000"/>
      </c:valAx>
      <c:spPr>
        <a:solidFill>
          <a:srgbClr val="FFFFC0"/>
        </a:solidFill>
        <a:ln w="3175">
          <a:noFill/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07925"/>
          <c:y val="0.929"/>
          <c:w val="0.881"/>
          <c:h val="0.039"/>
        </c:manualLayout>
      </c:layout>
      <c:overlay val="0"/>
      <c:spPr>
        <a:solidFill>
          <a:srgbClr val="FFFFFF"/>
        </a:solidFill>
        <a:ln w="3175">
          <a:solidFill>
            <a:srgbClr val="008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rye area / seigle</a:t>
            </a:r>
          </a:p>
        </c:rich>
      </c:tx>
      <c:layout>
        <c:manualLayout>
          <c:xMode val="factor"/>
          <c:yMode val="factor"/>
          <c:x val="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025"/>
          <c:w val="0.944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données!$A$46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noFill/>
              </a:ln>
            </c:spPr>
          </c:marker>
          <c:cat>
            <c:strRef>
              <c:f>données!$Q$45:$W$45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données!$Q$46:$S$46</c:f>
              <c:numCache>
                <c:ptCount val="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données!$A$47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données!$Q$45:$W$45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données!$Q$47:$V$47</c:f>
              <c:numCache>
                <c:ptCount val="6"/>
                <c:pt idx="0">
                  <c:v>13309</c:v>
                </c:pt>
                <c:pt idx="1">
                  <c:v>13586</c:v>
                </c:pt>
                <c:pt idx="2">
                  <c:v>11720</c:v>
                </c:pt>
                <c:pt idx="3">
                  <c:v>11893</c:v>
                </c:pt>
                <c:pt idx="4">
                  <c:v>9263</c:v>
                </c:pt>
                <c:pt idx="5">
                  <c:v>9577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données!$A$48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données!$Q$45:$W$45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données!$Q$48:$V$48</c:f>
              <c:numCache>
                <c:ptCount val="6"/>
                <c:pt idx="0">
                  <c:v>1609</c:v>
                </c:pt>
                <c:pt idx="1">
                  <c:v>2358</c:v>
                </c:pt>
                <c:pt idx="2">
                  <c:v>1996</c:v>
                </c:pt>
                <c:pt idx="3">
                  <c:v>2538</c:v>
                </c:pt>
                <c:pt idx="4">
                  <c:v>1756</c:v>
                </c:pt>
                <c:pt idx="5">
                  <c:v>1755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données!$A$49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données!$Q$45:$W$45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données!$Q$49:$W$49</c:f>
              <c:numCache>
                <c:ptCount val="7"/>
                <c:pt idx="0">
                  <c:v>1881</c:v>
                </c:pt>
                <c:pt idx="1">
                  <c:v>2791</c:v>
                </c:pt>
                <c:pt idx="2">
                  <c:v>2746</c:v>
                </c:pt>
                <c:pt idx="3">
                  <c:v>2649</c:v>
                </c:pt>
                <c:pt idx="4">
                  <c:v>1945</c:v>
                </c:pt>
                <c:pt idx="5">
                  <c:v>1874</c:v>
                </c:pt>
                <c:pt idx="6">
                  <c:v>1497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données!$A$50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données!$Q$45:$W$45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données!$Q$50:$V$50</c:f>
              <c:numCache>
                <c:ptCount val="6"/>
                <c:pt idx="0">
                  <c:v>688</c:v>
                </c:pt>
                <c:pt idx="1">
                  <c:v>439</c:v>
                </c:pt>
                <c:pt idx="2">
                  <c:v>462</c:v>
                </c:pt>
                <c:pt idx="3">
                  <c:v>262</c:v>
                </c:pt>
                <c:pt idx="4">
                  <c:v>132</c:v>
                </c:pt>
                <c:pt idx="5">
                  <c:v>202.7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données!$A$51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données!$Q$45:$W$45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données!$Q$51:$V$51</c:f>
              <c:numCache>
                <c:ptCount val="6"/>
                <c:pt idx="0">
                  <c:v>385</c:v>
                </c:pt>
                <c:pt idx="1">
                  <c:v>229.36</c:v>
                </c:pt>
                <c:pt idx="2">
                  <c:v>470</c:v>
                </c:pt>
                <c:pt idx="3">
                  <c:v>761</c:v>
                </c:pt>
                <c:pt idx="4">
                  <c:v>423</c:v>
                </c:pt>
                <c:pt idx="5">
                  <c:v>528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données!$A$52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données!$Q$45:$W$45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données!$Q$52:$W$52</c:f>
              <c:numCache>
                <c:ptCount val="7"/>
                <c:pt idx="0">
                  <c:v>145.7</c:v>
                </c:pt>
                <c:pt idx="1">
                  <c:v>180</c:v>
                </c:pt>
                <c:pt idx="2">
                  <c:v>243</c:v>
                </c:pt>
                <c:pt idx="3">
                  <c:v>337</c:v>
                </c:pt>
                <c:pt idx="4">
                  <c:v>456.7</c:v>
                </c:pt>
                <c:pt idx="5">
                  <c:v>629.1</c:v>
                </c:pt>
                <c:pt idx="6">
                  <c:v>655</c:v>
                </c:pt>
              </c:numCache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7003"/>
        <c:crosses val="autoZero"/>
        <c:auto val="1"/>
        <c:lblOffset val="800"/>
        <c:tickLblSkip val="1"/>
        <c:noMultiLvlLbl val="0"/>
      </c:catAx>
      <c:valAx>
        <c:axId val="46807003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9CCC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"/>
        <c:crossesAt val="1"/>
        <c:crossBetween val="between"/>
        <c:dispUnits/>
        <c:minorUnit val="10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"/>
          <c:y val="0.94075"/>
          <c:w val="0.859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sugar beet areas / betterave</a:t>
            </a:r>
          </a:p>
        </c:rich>
      </c:tx>
      <c:layout>
        <c:manualLayout>
          <c:xMode val="factor"/>
          <c:yMode val="factor"/>
          <c:x val="0.04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9"/>
          <c:w val="0.957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données!$A$56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données!$Q$55:$W$55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données!$Q$56:$V$56</c:f>
              <c:numCache>
                <c:ptCount val="6"/>
                <c:pt idx="0">
                  <c:v>4164</c:v>
                </c:pt>
                <c:pt idx="1">
                  <c:v>4313</c:v>
                </c:pt>
                <c:pt idx="2">
                  <c:v>4333</c:v>
                </c:pt>
                <c:pt idx="3">
                  <c:v>4191</c:v>
                </c:pt>
                <c:pt idx="4">
                  <c:v>5170</c:v>
                </c:pt>
                <c:pt idx="5">
                  <c:v>6632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données!$A$57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données!$Q$55:$W$55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données!$Q$57:$V$57</c:f>
              <c:numCache>
                <c:ptCount val="6"/>
                <c:pt idx="0">
                  <c:v>3790</c:v>
                </c:pt>
                <c:pt idx="1">
                  <c:v>2859</c:v>
                </c:pt>
                <c:pt idx="2">
                  <c:v>3483</c:v>
                </c:pt>
                <c:pt idx="3">
                  <c:v>3149</c:v>
                </c:pt>
                <c:pt idx="4">
                  <c:v>4020</c:v>
                </c:pt>
                <c:pt idx="5">
                  <c:v>5559</c:v>
                </c:pt>
              </c:numCache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01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At val="1"/>
        <c:crossBetween val="between"/>
        <c:dispUnits/>
        <c:minorUnit val="5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25"/>
          <c:y val="0.941"/>
          <c:w val="0.194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vegetable seeds area</a:t>
            </a:r>
          </a:p>
        </c:rich>
      </c:tx>
      <c:layout>
        <c:manualLayout>
          <c:xMode val="factor"/>
          <c:yMode val="factor"/>
          <c:x val="-0.019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225"/>
          <c:w val="0.9487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données!$A$61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données!$Q$60:$W$60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données!$Q$61:$W$61</c:f>
              <c:numCache>
                <c:ptCount val="7"/>
                <c:pt idx="0">
                  <c:v>18579</c:v>
                </c:pt>
                <c:pt idx="1">
                  <c:v>19236</c:v>
                </c:pt>
                <c:pt idx="2">
                  <c:v>20643</c:v>
                </c:pt>
                <c:pt idx="3">
                  <c:v>22319</c:v>
                </c:pt>
                <c:pt idx="4">
                  <c:v>24145</c:v>
                </c:pt>
                <c:pt idx="5">
                  <c:v>24863</c:v>
                </c:pt>
                <c:pt idx="6">
                  <c:v>4847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données!$A$62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données!$Q$60:$W$60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données!$Q$62:$V$62</c:f>
              <c:numCache>
                <c:ptCount val="6"/>
                <c:pt idx="0">
                  <c:v>18872</c:v>
                </c:pt>
                <c:pt idx="1">
                  <c:v>19500</c:v>
                </c:pt>
                <c:pt idx="2">
                  <c:v>26000</c:v>
                </c:pt>
                <c:pt idx="3">
                  <c:v>32950</c:v>
                </c:pt>
                <c:pt idx="4">
                  <c:v>37700</c:v>
                </c:pt>
                <c:pt idx="5">
                  <c:v>20683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données!$A$63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424242"/>
                </a:solidFill>
                <a:ln>
                  <a:noFill/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données!$Q$60:$W$60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PREV 2018</c:v>
                </c:pt>
              </c:strCache>
            </c:strRef>
          </c:cat>
          <c:val>
            <c:numRef>
              <c:f>données!$Q$63:$V$63</c:f>
              <c:numCache>
                <c:ptCount val="6"/>
                <c:pt idx="0">
                  <c:v>5900</c:v>
                </c:pt>
                <c:pt idx="1">
                  <c:v>6950</c:v>
                </c:pt>
                <c:pt idx="2">
                  <c:v>6657</c:v>
                </c:pt>
                <c:pt idx="3">
                  <c:v>5650</c:v>
                </c:pt>
                <c:pt idx="4">
                  <c:v>7222</c:v>
                </c:pt>
                <c:pt idx="5">
                  <c:v>10209</c:v>
                </c:pt>
              </c:numCache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2366"/>
        <c:crossesAt val="1"/>
        <c:crossBetween val="between"/>
        <c:dispUnits/>
        <c:minorUnit val="500"/>
      </c:valAx>
      <c:spPr>
        <a:solidFill>
          <a:srgbClr val="FFFF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625"/>
          <c:y val="0.941"/>
          <c:w val="0.525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10"/>
  </sheetViews>
  <pageMargins left="0.787401575" right="0.787401575" top="0.984251969" bottom="0.984251969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1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1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1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3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1968503937007874" right="0.2" top="0.2" bottom="0.1968503937007874" header="0" footer="0"/>
  <pageSetup horizontalDpi="600" verticalDpi="6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1968503937007874" right="0.1968503937007874" top="0.1968503937007874" bottom="0.1968503937007874" header="0.1968503937007874" footer="0.1968503937007874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0.918</cdr:y>
    </cdr:from>
    <cdr:to>
      <cdr:x>0.18775</cdr:x>
      <cdr:y>0.9485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28725" y="52482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</cdr:x>
      <cdr:y>0.917</cdr:y>
    </cdr:from>
    <cdr:to>
      <cdr:x>0.29725</cdr:x>
      <cdr:y>0.94775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2238375" y="52482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0.92125</cdr:y>
    </cdr:from>
    <cdr:to>
      <cdr:x>0.53125</cdr:x>
      <cdr:y>0.952</cdr:y>
    </cdr:to>
    <cdr:sp fLocksText="0">
      <cdr:nvSpPr>
        <cdr:cNvPr id="3" name="ZoneTexte 1"/>
        <cdr:cNvSpPr txBox="1">
          <a:spLocks noChangeArrowheads="1"/>
        </cdr:cNvSpPr>
      </cdr:nvSpPr>
      <cdr:spPr>
        <a:xfrm>
          <a:off x="4400550" y="5267325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0.5915</cdr:x>
      <cdr:y>0.91975</cdr:y>
    </cdr:from>
    <cdr:to>
      <cdr:x>0.64575</cdr:x>
      <cdr:y>0.9505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5448300" y="5257800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0.92125</cdr:y>
    </cdr:from>
    <cdr:to>
      <cdr:x>0.871</cdr:x>
      <cdr:y>0.952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7524750" y="526732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0.903</cdr:y>
    </cdr:from>
    <cdr:to>
      <cdr:x>0.4355</cdr:x>
      <cdr:y>0.9505</cdr:y>
    </cdr:to>
    <cdr:sp>
      <cdr:nvSpPr>
        <cdr:cNvPr id="1" name="Text Box 2"/>
        <cdr:cNvSpPr txBox="1">
          <a:spLocks noChangeArrowheads="1"/>
        </cdr:cNvSpPr>
      </cdr:nvSpPr>
      <cdr:spPr>
        <a:xfrm>
          <a:off x="3495675" y="5153025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0.9065</cdr:y>
    </cdr:from>
    <cdr:to>
      <cdr:x>0.384</cdr:x>
      <cdr:y>0.95125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5172075"/>
          <a:ext cx="609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</cdr:x>
      <cdr:y>0.90475</cdr:y>
    </cdr:from>
    <cdr:to>
      <cdr:x>0.55875</cdr:x>
      <cdr:y>0.94875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629150" y="5162550"/>
          <a:ext cx="514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0.60775</cdr:x>
      <cdr:y>0.90375</cdr:y>
    </cdr:from>
    <cdr:to>
      <cdr:x>0.664</cdr:x>
      <cdr:y>0.953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5600700" y="5172075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0.9075</cdr:y>
    </cdr:from>
    <cdr:to>
      <cdr:x>0.523</cdr:x>
      <cdr:y>0.9565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4295775" y="519112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0.163</cdr:y>
    </cdr:from>
    <cdr:to>
      <cdr:x>0.96025</cdr:x>
      <cdr:y>0.20925</cdr:y>
    </cdr:to>
    <cdr:sp>
      <cdr:nvSpPr>
        <cdr:cNvPr id="1" name="Text Box 2"/>
        <cdr:cNvSpPr txBox="1">
          <a:spLocks noChangeArrowheads="1"/>
        </cdr:cNvSpPr>
      </cdr:nvSpPr>
      <cdr:spPr>
        <a:xfrm>
          <a:off x="8343900" y="923925"/>
          <a:ext cx="495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0.73425</cdr:x>
      <cdr:y>0.552</cdr:y>
    </cdr:from>
    <cdr:to>
      <cdr:x>0.78375</cdr:x>
      <cdr:y>0.58825</cdr:y>
    </cdr:to>
    <cdr:sp fLocksText="0">
      <cdr:nvSpPr>
        <cdr:cNvPr id="1" name="ZoneTexte 3"/>
        <cdr:cNvSpPr txBox="1">
          <a:spLocks noChangeArrowheads="1"/>
        </cdr:cNvSpPr>
      </cdr:nvSpPr>
      <cdr:spPr>
        <a:xfrm>
          <a:off x="6762750" y="31527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0.91225</cdr:y>
    </cdr:from>
    <cdr:to>
      <cdr:x>0.19625</cdr:x>
      <cdr:y>0.961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333500" y="521970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0.30675</cdr:x>
      <cdr:y>0.91725</cdr:y>
    </cdr:from>
    <cdr:to>
      <cdr:x>0.363</cdr:x>
      <cdr:y>0.96225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2819400" y="5248275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0.89775</cdr:y>
    </cdr:from>
    <cdr:to>
      <cdr:x>0.0695</cdr:x>
      <cdr:y>0.935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51244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0.9045</cdr:y>
    </cdr:from>
    <cdr:to>
      <cdr:x>0.2845</cdr:x>
      <cdr:y>0.9445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2076450" y="5162550"/>
          <a:ext cx="542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0.67175</cdr:x>
      <cdr:y>0.90275</cdr:y>
    </cdr:from>
    <cdr:to>
      <cdr:x>0.72925</cdr:x>
      <cdr:y>0.9445</cdr:y>
    </cdr:to>
    <cdr:sp fLocksText="0">
      <cdr:nvSpPr>
        <cdr:cNvPr id="3" name="ZoneTexte 1"/>
        <cdr:cNvSpPr txBox="1">
          <a:spLocks noChangeArrowheads="1"/>
        </cdr:cNvSpPr>
      </cdr:nvSpPr>
      <cdr:spPr>
        <a:xfrm>
          <a:off x="6181725" y="51530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0.89675</cdr:y>
    </cdr:from>
    <cdr:to>
      <cdr:x>0.189</cdr:x>
      <cdr:y>0.933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1228725" y="51244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0.8985</cdr:y>
    </cdr:from>
    <cdr:to>
      <cdr:x>0.32425</cdr:x>
      <cdr:y>0.93475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2476500" y="51339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0.54875</cdr:x>
      <cdr:y>0.8985</cdr:y>
    </cdr:from>
    <cdr:to>
      <cdr:x>0.603</cdr:x>
      <cdr:y>0.93475</cdr:y>
    </cdr:to>
    <cdr:sp fLocksText="0">
      <cdr:nvSpPr>
        <cdr:cNvPr id="6" name="ZoneTexte 1"/>
        <cdr:cNvSpPr txBox="1">
          <a:spLocks noChangeArrowheads="1"/>
        </cdr:cNvSpPr>
      </cdr:nvSpPr>
      <cdr:spPr>
        <a:xfrm>
          <a:off x="5048250" y="51339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0.028</cdr:y>
    </cdr:from>
    <cdr:to>
      <cdr:x>0.98025</cdr:x>
      <cdr:y>0.09475</cdr:y>
    </cdr:to>
    <cdr:sp fLocksText="0">
      <cdr:nvSpPr>
        <cdr:cNvPr id="1" name="Text Box 4"/>
        <cdr:cNvSpPr txBox="1">
          <a:spLocks noChangeArrowheads="1"/>
        </cdr:cNvSpPr>
      </cdr:nvSpPr>
      <cdr:spPr>
        <a:xfrm>
          <a:off x="8296275" y="152400"/>
          <a:ext cx="7239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0.90225</cdr:y>
    </cdr:from>
    <cdr:to>
      <cdr:x>0.25925</cdr:x>
      <cdr:y>0.94925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52625" y="5153025"/>
          <a:ext cx="428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0.90225</cdr:y>
    </cdr:from>
    <cdr:to>
      <cdr:x>0.38725</cdr:x>
      <cdr:y>0.9485</cdr:y>
    </cdr:to>
    <cdr:sp>
      <cdr:nvSpPr>
        <cdr:cNvPr id="2" name="Text Box 2"/>
        <cdr:cNvSpPr txBox="1">
          <a:spLocks noChangeArrowheads="1"/>
        </cdr:cNvSpPr>
      </cdr:nvSpPr>
      <cdr:spPr>
        <a:xfrm>
          <a:off x="3057525" y="5153025"/>
          <a:ext cx="504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</cdr:x>
      <cdr:y>0.90225</cdr:y>
    </cdr:from>
    <cdr:to>
      <cdr:x>0.6285</cdr:x>
      <cdr:y>0.95175</cdr:y>
    </cdr:to>
    <cdr:sp>
      <cdr:nvSpPr>
        <cdr:cNvPr id="3" name="Text Box 2"/>
        <cdr:cNvSpPr txBox="1">
          <a:spLocks noChangeArrowheads="1"/>
        </cdr:cNvSpPr>
      </cdr:nvSpPr>
      <cdr:spPr>
        <a:xfrm>
          <a:off x="5276850" y="515302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0.91075</cdr:y>
    </cdr:from>
    <cdr:to>
      <cdr:x>0.7555</cdr:x>
      <cdr:y>0.94775</cdr:y>
    </cdr:to>
    <cdr:sp>
      <cdr:nvSpPr>
        <cdr:cNvPr id="4" name="Text Box 2"/>
        <cdr:cNvSpPr txBox="1">
          <a:spLocks noChangeArrowheads="1"/>
        </cdr:cNvSpPr>
      </cdr:nvSpPr>
      <cdr:spPr>
        <a:xfrm>
          <a:off x="6448425" y="5200650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</cdr:x>
      <cdr:y>0.89675</cdr:y>
    </cdr:from>
    <cdr:to>
      <cdr:x>0.62425</cdr:x>
      <cdr:y>0.94225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5219700" y="5124450"/>
          <a:ext cx="523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0.90575</cdr:y>
    </cdr:from>
    <cdr:to>
      <cdr:x>0.166</cdr:x>
      <cdr:y>0.944</cdr:y>
    </cdr:to>
    <cdr:sp fLocksText="0">
      <cdr:nvSpPr>
        <cdr:cNvPr id="6" name="ZoneTexte 1"/>
        <cdr:cNvSpPr txBox="1">
          <a:spLocks noChangeArrowheads="1"/>
        </cdr:cNvSpPr>
      </cdr:nvSpPr>
      <cdr:spPr>
        <a:xfrm>
          <a:off x="1028700" y="517207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0.9095</cdr:y>
    </cdr:from>
    <cdr:to>
      <cdr:x>0.51925</cdr:x>
      <cdr:y>0.94775</cdr:y>
    </cdr:to>
    <cdr:sp fLocksText="0">
      <cdr:nvSpPr>
        <cdr:cNvPr id="7" name="ZoneTexte 1"/>
        <cdr:cNvSpPr txBox="1">
          <a:spLocks noChangeArrowheads="1"/>
        </cdr:cNvSpPr>
      </cdr:nvSpPr>
      <cdr:spPr>
        <a:xfrm>
          <a:off x="4276725" y="5191125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0.90575</cdr:y>
    </cdr:from>
    <cdr:to>
      <cdr:x>0.8665</cdr:x>
      <cdr:y>0.944</cdr:y>
    </cdr:to>
    <cdr:sp fLocksText="0">
      <cdr:nvSpPr>
        <cdr:cNvPr id="8" name="ZoneTexte 1"/>
        <cdr:cNvSpPr txBox="1">
          <a:spLocks noChangeArrowheads="1"/>
        </cdr:cNvSpPr>
      </cdr:nvSpPr>
      <cdr:spPr>
        <a:xfrm>
          <a:off x="7477125" y="517207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0.2245</cdr:y>
    </cdr:from>
    <cdr:to>
      <cdr:x>0.8625</cdr:x>
      <cdr:y>0.289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219950" y="1276350"/>
          <a:ext cx="7239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0.85</cdr:y>
    </cdr:from>
    <cdr:to>
      <cdr:x>0.92425</cdr:x>
      <cdr:y>0.91025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81925" y="4857750"/>
          <a:ext cx="7334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0.897</cdr:y>
    </cdr:from>
    <cdr:to>
      <cdr:x>0.91325</cdr:x>
      <cdr:y>0.934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7886700" y="51339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Shape 1025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Shape 1025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0.081</cdr:y>
    </cdr:from>
    <cdr:to>
      <cdr:x>0.95275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8048625" y="457200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0.883</cdr:y>
    </cdr:from>
    <cdr:to>
      <cdr:x>0.3615</cdr:x>
      <cdr:y>0.92825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50387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0.32875</cdr:y>
    </cdr:from>
    <cdr:to>
      <cdr:x>0.81025</cdr:x>
      <cdr:y>0.38975</cdr:y>
    </cdr:to>
    <cdr:sp fLocksText="0">
      <cdr:nvSpPr>
        <cdr:cNvPr id="2" name="Text Box 4"/>
        <cdr:cNvSpPr txBox="1">
          <a:spLocks noChangeArrowheads="1"/>
        </cdr:cNvSpPr>
      </cdr:nvSpPr>
      <cdr:spPr>
        <a:xfrm>
          <a:off x="6743700" y="1876425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0.49375</cdr:y>
    </cdr:from>
    <cdr:to>
      <cdr:x>0.5085</cdr:x>
      <cdr:y>0.54325</cdr:y>
    </cdr:to>
    <cdr:sp>
      <cdr:nvSpPr>
        <cdr:cNvPr id="3" name="Text Box 112"/>
        <cdr:cNvSpPr txBox="1">
          <a:spLocks noChangeArrowheads="1"/>
        </cdr:cNvSpPr>
      </cdr:nvSpPr>
      <cdr:spPr>
        <a:xfrm>
          <a:off x="4572000" y="2819400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0.89</cdr:y>
    </cdr:from>
    <cdr:to>
      <cdr:x>0.14075</cdr:x>
      <cdr:y>0.939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66775" y="5086350"/>
          <a:ext cx="419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0.89</cdr:y>
    </cdr:from>
    <cdr:to>
      <cdr:x>0.14075</cdr:x>
      <cdr:y>0.939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866775" y="5086350"/>
          <a:ext cx="419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</cdr:x>
      <cdr:y>0.89225</cdr:y>
    </cdr:from>
    <cdr:to>
      <cdr:x>0.26825</cdr:x>
      <cdr:y>0.94125</cdr:y>
    </cdr:to>
    <cdr:sp fLocksText="0">
      <cdr:nvSpPr>
        <cdr:cNvPr id="3" name="ZoneTexte 1"/>
        <cdr:cNvSpPr txBox="1">
          <a:spLocks noChangeArrowheads="1"/>
        </cdr:cNvSpPr>
      </cdr:nvSpPr>
      <cdr:spPr>
        <a:xfrm>
          <a:off x="2038350" y="509587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0.8905</cdr:y>
    </cdr:from>
    <cdr:to>
      <cdr:x>0.4</cdr:x>
      <cdr:y>0.9395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3200400" y="508635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0.893</cdr:y>
    </cdr:from>
    <cdr:to>
      <cdr:x>0.53525</cdr:x>
      <cdr:y>0.94225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4429125" y="5095875"/>
          <a:ext cx="485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0.89525</cdr:y>
    </cdr:from>
    <cdr:to>
      <cdr:x>0.64775</cdr:x>
      <cdr:y>0.94475</cdr:y>
    </cdr:to>
    <cdr:sp fLocksText="0">
      <cdr:nvSpPr>
        <cdr:cNvPr id="6" name="ZoneTexte 1"/>
        <cdr:cNvSpPr txBox="1">
          <a:spLocks noChangeArrowheads="1"/>
        </cdr:cNvSpPr>
      </cdr:nvSpPr>
      <cdr:spPr>
        <a:xfrm>
          <a:off x="5534025" y="511492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Shape 1025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58</xdr:row>
      <xdr:rowOff>85725</xdr:rowOff>
    </xdr:from>
    <xdr:to>
      <xdr:col>4</xdr:col>
      <xdr:colOff>409575</xdr:colOff>
      <xdr:row>76</xdr:row>
      <xdr:rowOff>47625</xdr:rowOff>
    </xdr:to>
    <xdr:graphicFrame>
      <xdr:nvGraphicFramePr>
        <xdr:cNvPr id="1" name="Graphique 3"/>
        <xdr:cNvGraphicFramePr/>
      </xdr:nvGraphicFramePr>
      <xdr:xfrm>
        <a:off x="381000" y="12658725"/>
        <a:ext cx="5276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80</xdr:row>
      <xdr:rowOff>57150</xdr:rowOff>
    </xdr:from>
    <xdr:to>
      <xdr:col>4</xdr:col>
      <xdr:colOff>752475</xdr:colOff>
      <xdr:row>98</xdr:row>
      <xdr:rowOff>19050</xdr:rowOff>
    </xdr:to>
    <xdr:graphicFrame>
      <xdr:nvGraphicFramePr>
        <xdr:cNvPr id="2" name="Graphique 4"/>
        <xdr:cNvGraphicFramePr/>
      </xdr:nvGraphicFramePr>
      <xdr:xfrm>
        <a:off x="723900" y="16192500"/>
        <a:ext cx="52768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7162800"/>
    <xdr:graphicFrame>
      <xdr:nvGraphicFramePr>
        <xdr:cNvPr id="1" name="Shape 1025"/>
        <xdr:cNvGraphicFramePr/>
      </xdr:nvGraphicFramePr>
      <xdr:xfrm>
        <a:off x="0" y="0"/>
        <a:ext cx="102965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7162800"/>
    <xdr:graphicFrame>
      <xdr:nvGraphicFramePr>
        <xdr:cNvPr id="1" name="Shape 1025"/>
        <xdr:cNvGraphicFramePr/>
      </xdr:nvGraphicFramePr>
      <xdr:xfrm>
        <a:off x="0" y="0"/>
        <a:ext cx="102965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0.0815</cdr:x>
      <cdr:y>0.09125</cdr:y>
    </cdr:to>
    <cdr:sp fLocksText="0">
      <cdr:nvSpPr>
        <cdr:cNvPr id="1" name="Text Box 6"/>
        <cdr:cNvSpPr txBox="1">
          <a:spLocks noChangeArrowheads="1"/>
        </cdr:cNvSpPr>
      </cdr:nvSpPr>
      <cdr:spPr>
        <a:xfrm>
          <a:off x="0" y="0"/>
          <a:ext cx="7524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0.00825</cdr:y>
    </cdr:from>
    <cdr:to>
      <cdr:x>0.2035</cdr:x>
      <cdr:y>0.07475</cdr:y>
    </cdr:to>
    <cdr:sp>
      <cdr:nvSpPr>
        <cdr:cNvPr id="2" name="Text Box 10"/>
        <cdr:cNvSpPr txBox="1">
          <a:spLocks noChangeArrowheads="1"/>
        </cdr:cNvSpPr>
      </cdr:nvSpPr>
      <cdr:spPr>
        <a:xfrm>
          <a:off x="95250" y="38100"/>
          <a:ext cx="1771650" cy="38100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NB: pour la Belgique = hiver + printemps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0.08175</cdr:x>
      <cdr:y>0.09075</cdr:y>
    </cdr:to>
    <cdr:sp fLocksText="0">
      <cdr:nvSpPr>
        <cdr:cNvPr id="3" name="Text Box 24"/>
        <cdr:cNvSpPr txBox="1">
          <a:spLocks noChangeArrowheads="1"/>
        </cdr:cNvSpPr>
      </cdr:nvSpPr>
      <cdr:spPr>
        <a:xfrm>
          <a:off x="0" y="0"/>
          <a:ext cx="752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0.55375</cdr:x>
      <cdr:y>0.91275</cdr:y>
    </cdr:from>
    <cdr:to>
      <cdr:x>0.608</cdr:x>
      <cdr:y>0.948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5095875" y="521017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0.77725</cdr:x>
      <cdr:y>0.30325</cdr:y>
    </cdr:from>
    <cdr:to>
      <cdr:x>0.8695</cdr:x>
      <cdr:y>0.3665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7153275" y="1724025"/>
          <a:ext cx="847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0.90325</cdr:y>
    </cdr:from>
    <cdr:to>
      <cdr:x>0.5395</cdr:x>
      <cdr:y>0.9375</cdr:y>
    </cdr:to>
    <cdr:sp fLocksText="0">
      <cdr:nvSpPr>
        <cdr:cNvPr id="1" name="ZoneTexte 7"/>
        <cdr:cNvSpPr txBox="1">
          <a:spLocks noChangeArrowheads="1"/>
        </cdr:cNvSpPr>
      </cdr:nvSpPr>
      <cdr:spPr>
        <a:xfrm>
          <a:off x="4457700" y="515302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20.00390625" style="0" customWidth="1"/>
  </cols>
  <sheetData>
    <row r="1" spans="2:14" ht="12.75">
      <c r="B1" s="164">
        <v>97</v>
      </c>
      <c r="C1" s="164">
        <v>98</v>
      </c>
      <c r="D1" s="164">
        <v>99</v>
      </c>
      <c r="E1" s="165">
        <v>0</v>
      </c>
      <c r="F1" s="166">
        <v>1</v>
      </c>
      <c r="G1" s="166">
        <v>2</v>
      </c>
      <c r="H1" s="166">
        <v>3</v>
      </c>
      <c r="I1" s="166">
        <v>4</v>
      </c>
      <c r="J1" s="166">
        <v>5</v>
      </c>
      <c r="K1" s="166">
        <v>6</v>
      </c>
      <c r="L1" s="166">
        <v>7</v>
      </c>
      <c r="M1" s="166">
        <v>8</v>
      </c>
      <c r="N1" s="166">
        <v>9</v>
      </c>
    </row>
    <row r="2" spans="1:14" ht="12.75">
      <c r="A2" t="s">
        <v>101</v>
      </c>
      <c r="B2" s="33">
        <f>+Belgique!D24+Allemagne!D24+France!D25+Danemark!D24+Italie!D21+'Pays-Bas'!D24+Suède!D24+Finlande!D24+UK!D24</f>
        <v>74792</v>
      </c>
      <c r="C2" s="33">
        <f>+Belgique!E24+Allemagne!E24+France!E25+Danemark!E24+Italie!E21+'Pays-Bas'!E24+Suède!E24+Finlande!E24+UK!E24</f>
        <v>87132</v>
      </c>
      <c r="D2" s="33">
        <f>+Belgique!F24+Allemagne!F24+France!F25+Danemark!F24+Italie!F21+'Pays-Bas'!F24+Suède!F24+Finlande!F24+UK!F24</f>
        <v>66382</v>
      </c>
      <c r="E2" s="33">
        <f>+Belgique!G24+Allemagne!G24+France!G25+Danemark!G24+Italie!G21+'Pays-Bas'!G24+Suède!G24+Finlande!G24+UK!G24</f>
        <v>63010</v>
      </c>
      <c r="F2" s="33">
        <f>+Belgique!H24+Allemagne!H24+France!H25+Danemark!H24+Italie!H21+'Pays-Bas'!H24+Suède!H24+Finlande!H24+UK!H24</f>
        <v>60214</v>
      </c>
      <c r="G2" s="33">
        <f>+Belgique!I24+Allemagne!I24+France!I25+Danemark!I24+Italie!I21+'Pays-Bas'!I24+Suède!I24+Finlande!I24+UK!I24</f>
        <v>52215</v>
      </c>
      <c r="H2" s="33">
        <f>+Belgique!J24+Allemagne!J24+France!J25+Danemark!J24+Italie!J21+'Pays-Bas'!J24+Suède!J24+Finlande!J24+UK!J24</f>
        <v>70375.7</v>
      </c>
      <c r="I2" s="33">
        <f>+Belgique!K24+Allemagne!K24+France!K25+Danemark!K24+Italie!K21+'Pays-Bas'!K24+Suède!K24+Finlande!K24+UK!K24</f>
        <v>79410.7</v>
      </c>
      <c r="J2" s="33">
        <f>+Belgique!L24+Allemagne!L24+France!L25+Danemark!L24+Italie!L21+'Pays-Bas'!L24+Suède!L24+Finlande!L24+UK!L24</f>
        <v>82411.9</v>
      </c>
      <c r="K2" s="33">
        <f>+Belgique!M24+Allemagne!M24+France!M25+Danemark!M24+Italie!M21+'Pays-Bas'!M24+Suède!M24+Finlande!M24+UK!M24</f>
        <v>79770.90000000001</v>
      </c>
      <c r="L2" s="33">
        <f>L3+Allemagne!N24</f>
        <v>66381.4</v>
      </c>
      <c r="M2" s="33">
        <f>M3+Allemagne!O24</f>
        <v>56114</v>
      </c>
      <c r="N2" s="33">
        <f>N3+Allemagne!P24</f>
        <v>18393</v>
      </c>
    </row>
    <row r="3" spans="1:14" ht="12.75">
      <c r="A3" t="s">
        <v>102</v>
      </c>
      <c r="B3" s="33"/>
      <c r="C3" s="33"/>
      <c r="D3" s="33"/>
      <c r="E3" s="33"/>
      <c r="F3" s="33"/>
      <c r="G3" s="33">
        <f>Belgique!I24+Danemark!I24+France!I25+Italie!I21+'Pays-Bas'!I24+Suède!I24+Finlande!I24+UK!I24</f>
        <v>45748</v>
      </c>
      <c r="H3" s="33">
        <f>Belgique!J24+Danemark!J24+France!J25+Italie!J21+'Pays-Bas'!J24+Suède!J24+Finlande!J24+UK!J24</f>
        <v>62263.7</v>
      </c>
      <c r="I3" s="33">
        <f>Belgique!K24+Danemark!K24+France!K25+Italie!K21+'Pays-Bas'!K24+Suède!K24+Finlande!K24+UK!K24</f>
        <v>69268.7</v>
      </c>
      <c r="J3" s="33">
        <f>Belgique!L24+Danemark!L24+France!L25+Italie!L21+'Pays-Bas'!L24+Suède!L24+Finlande!L24+UK!L24</f>
        <v>72699.9</v>
      </c>
      <c r="K3" s="33">
        <f>Belgique!M24+Danemark!M24+France!M25+Italie!M21+'Pays-Bas'!M24+Suède!M24+Finlande!M24+UK!M24</f>
        <v>69929.90000000001</v>
      </c>
      <c r="L3" s="33">
        <f>Belgique!N24+Danemark!N24+France!N25+Italie!N21+'Pays-Bas'!N24+Suède!N24+Finlande!N24+UK!N24</f>
        <v>56917.4</v>
      </c>
      <c r="M3" s="33">
        <f>Belgique!O24+Danemark!O24+France!O25+Italie!O21+'Pays-Bas'!O24+Suède!O24+Finlande!O24+UK!O24</f>
        <v>49187</v>
      </c>
      <c r="N3" s="33">
        <f>Belgique!O24+Danemark!O23+France!O23+Italie!O23+'Pays-Bas'!O23+Suède!O23+Finlande!O23+UK!O23</f>
        <v>11295</v>
      </c>
    </row>
    <row r="4" spans="2:11" ht="12.75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2.75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 ht="12.75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 ht="12.75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4" ht="12.75">
      <c r="A8" t="s">
        <v>103</v>
      </c>
      <c r="B8" s="33">
        <v>34535</v>
      </c>
      <c r="C8" s="33">
        <v>39497</v>
      </c>
      <c r="D8" s="33">
        <v>32568</v>
      </c>
      <c r="E8" s="33">
        <v>20633</v>
      </c>
      <c r="F8" s="33">
        <v>18955</v>
      </c>
      <c r="G8" s="33">
        <v>19076</v>
      </c>
      <c r="H8" s="33">
        <v>24393</v>
      </c>
      <c r="I8" s="33">
        <v>31264.7</v>
      </c>
      <c r="J8" s="33">
        <f>Belgique!L25+Allemagne!L25+Allemagne!L26+Danemark!L26+France!L27+Italie!L23+'Pays-Bas'!L26+Suède!L26+Finlande!L26+UK!L26</f>
        <v>31676</v>
      </c>
      <c r="K8" s="33">
        <f>Belgique!M25+Allemagne!M25+Allemagne!M26+Danemark!M26+France!M27+Italie!M23+'Pays-Bas'!M26+Suède!M26+Finlande!M26+UK!M26</f>
        <v>28386.6</v>
      </c>
      <c r="L8" s="33">
        <f>Belgique!N25+Allemagne!N25+Allemagne!N26+Danemark!N26+France!N27+Italie!N23+'Pays-Bas'!N26+Suède!N26+Finlande!N26+UK!N26</f>
        <v>22620.29</v>
      </c>
      <c r="M8" s="33">
        <f>Belgique!O25+Allemagne!O25+Allemagne!O26+Danemark!O26+France!O27+Italie!O23+'Pays-Bas'!O26+Suède!O26+Finlande!O26+UK!O26</f>
        <v>21112.1</v>
      </c>
      <c r="N8" s="33">
        <f>Belgique!P25+Allemagne!P25+Allemagne!P26+Danemark!P26+France!P27+Italie!P23+'Pays-Bas'!P26+Suède!P26+Finlande!P26+UK!P26</f>
        <v>26467.64</v>
      </c>
    </row>
    <row r="9" spans="1:14" ht="12.75">
      <c r="A9" t="s">
        <v>104</v>
      </c>
      <c r="B9" s="33"/>
      <c r="C9" s="33"/>
      <c r="D9" s="33"/>
      <c r="E9" s="33"/>
      <c r="F9" s="33"/>
      <c r="G9" s="33">
        <f>Belgique!I25+Danemark!I26+France!I27+Italie!I23+'Pays-Bas'!I26+Suède!I26+Finlande!I26+UK!I26</f>
        <v>10293</v>
      </c>
      <c r="H9" s="33">
        <f>Belgique!J25+Danemark!J26+France!J27+Italie!J23+'Pays-Bas'!J26+Suède!J26+Finlande!J26+UK!J26</f>
        <v>13363.65</v>
      </c>
      <c r="I9" s="33">
        <f>Belgique!K25+Danemark!K26+France!K27+Italie!K23+'Pays-Bas'!K26+Suède!K26+Finlande!K26+UK!K26</f>
        <v>16644.7</v>
      </c>
      <c r="J9" s="33">
        <f>Belgique!L25+Danemark!L26+France!L27+Italie!L23+'Pays-Bas'!L26+Suède!L26+Finlande!L26+UK!L26</f>
        <v>15581</v>
      </c>
      <c r="K9" s="33">
        <f>Belgique!M25+Danemark!M26+France!M27+Italie!M23+'Pays-Bas'!M26+Suède!M26+Finlande!M26+UK!M26</f>
        <v>14787.6</v>
      </c>
      <c r="L9" s="33">
        <f>Belgique!N25+Danemark!N26+France!N27+Italie!N23+'Pays-Bas'!N26+Suède!N26+Finlande!N26+UK!N26</f>
        <v>10803.289999999999</v>
      </c>
      <c r="M9" s="33">
        <f>Belgique!O25+Danemark!O26+France!O27+Italie!O23+'Pays-Bas'!O26+Suède!O26+Finlande!O26+UK!O26</f>
        <v>9869.1</v>
      </c>
      <c r="N9" s="33">
        <f>Belgique!P25+Danemark!P26+France!P27+Italie!P23+'Pays-Bas'!P26+Suède!P26+Finlande!P26+UK!P26</f>
        <v>12960.64</v>
      </c>
    </row>
    <row r="10" spans="1:14" ht="12.75">
      <c r="A10" t="s">
        <v>105</v>
      </c>
      <c r="B10" s="33">
        <f>Belgique!D20+Allemagne!D20+Danemark!D20+France!D21+Italie!D19+'Pays-Bas'!D20+Suède!D20+Finlande!D20+UK!D20</f>
        <v>21631</v>
      </c>
      <c r="C10" s="33">
        <f>Belgique!E20+Allemagne!E20+Danemark!E20+France!E21+Italie!E19+'Pays-Bas'!E20+Suède!E20+Finlande!E20+UK!E20</f>
        <v>31901</v>
      </c>
      <c r="D10" s="33">
        <f>Belgique!F20+Allemagne!F20+Danemark!F20+France!F21+Italie!F19+'Pays-Bas'!F20+Suède!F20+Finlande!F20+UK!F20</f>
        <v>36474</v>
      </c>
      <c r="E10" s="33">
        <f>Belgique!G20+Allemagne!G20+Danemark!G20+France!G21+Italie!G19+'Pays-Bas'!G20+Suède!G20+Finlande!G20+UK!G20</f>
        <v>39125</v>
      </c>
      <c r="F10" s="33">
        <f>Belgique!H20+Allemagne!H20+Danemark!H20+France!H21+Italie!H19+'Pays-Bas'!H20+Suède!H20+Finlande!H20+UK!H20</f>
        <v>42697</v>
      </c>
      <c r="G10" s="33">
        <f>Belgique!I20+Allemagne!I20+Danemark!I20+France!I21+Italie!I19+'Pays-Bas'!I20+Suède!I20+Finlande!I20+UK!I20</f>
        <v>27238</v>
      </c>
      <c r="H10" s="33">
        <f>Belgique!J20+Allemagne!J20+Danemark!J20+France!J21+Italie!J19+'Pays-Bas'!J20+Suède!J20+Finlande!J20+UK!J20</f>
        <v>30246.5</v>
      </c>
      <c r="I10" s="33">
        <f>Belgique!K20+Allemagne!K20+Danemark!K20+France!K21+Italie!K19+'Pays-Bas'!K20+Suède!K20+Finlande!K20+UK!K20</f>
        <v>31696.6</v>
      </c>
      <c r="J10" s="33">
        <f>Belgique!L20+Allemagne!L20+Danemark!L20+France!L21+Italie!L19+'Pays-Bas'!L20+Suède!L20+Finlande!L20+UK!L20</f>
        <v>35999.9</v>
      </c>
      <c r="K10" s="33">
        <f>Belgique!M20+Allemagne!M20+Danemark!M20+France!M21+Italie!M19+'Pays-Bas'!M20+Suède!M20+Finlande!M20+UK!M20</f>
        <v>37046.4</v>
      </c>
      <c r="L10" s="33">
        <f>Belgique!N20+Allemagne!N20+Danemark!N20+France!N21+Italie!N19+'Pays-Bas'!N20+Suède!N20+Finlande!N20+UK!N20</f>
        <v>30644.9</v>
      </c>
      <c r="M10" s="33">
        <f>Belgique!O20+Allemagne!O20+Danemark!O20+France!O21+Italie!O19+'Pays-Bas'!O20+Suède!O20+Finlande!O20+UK!O20</f>
        <v>23654.1</v>
      </c>
      <c r="N10" s="33">
        <f>Belgique!P20+Allemagne!P20+Danemark!P20+France!P21+Italie!P19+'Pays-Bas'!P20+Suède!P20+Finlande!P20+UK!P20</f>
        <v>27313.73</v>
      </c>
    </row>
    <row r="11" spans="1:14" ht="12.75">
      <c r="A11" t="s">
        <v>106</v>
      </c>
      <c r="B11" s="33"/>
      <c r="C11" s="33"/>
      <c r="D11" s="33"/>
      <c r="E11" s="33"/>
      <c r="F11" s="33"/>
      <c r="G11" s="33">
        <f>Belgique!I20+Danemark!I20+France!I21+Italie!I19+'Pays-Bas'!I20+Suède!I20+Finlande!I20+UK!I20</f>
        <v>23781</v>
      </c>
      <c r="H11" s="33">
        <f>Belgique!J20+Danemark!J20+France!J21+Italie!J19+'Pays-Bas'!J20+Suède!J20+Finlande!J20+UK!J20</f>
        <v>27360.5</v>
      </c>
      <c r="I11" s="33">
        <f>Belgique!K20+Danemark!K20+France!K21+Italie!K19+'Pays-Bas'!K20+Suède!K20+Finlande!K20+UK!K20</f>
        <v>29448.6</v>
      </c>
      <c r="J11" s="33">
        <f>Belgique!L20+Danemark!L20+France!L21+Italie!L19+'Pays-Bas'!L20+Suède!L20+Finlande!L20+UK!L20</f>
        <v>33361.9</v>
      </c>
      <c r="K11" s="33">
        <f>Belgique!M20+Danemark!M20+France!M21+Italie!M19+'Pays-Bas'!M20+Suède!M20+Finlande!M20+UK!M20</f>
        <v>34100.4</v>
      </c>
      <c r="L11" s="33">
        <f>Belgique!N20+Danemark!N20+France!N21+Italie!N19+'Pays-Bas'!N20+Suède!N20+Finlande!N20+UK!N20</f>
        <v>27740.9</v>
      </c>
      <c r="M11" s="33">
        <f>Belgique!O20+Danemark!O20+France!O21+Italie!O19+'Pays-Bas'!O20+Suède!O20+Finlande!O20+UK!O20</f>
        <v>21279.1</v>
      </c>
      <c r="N11" s="33">
        <f>Belgique!P20+Danemark!P20+France!P21+Italie!P19+'Pays-Bas'!P20+Suède!P20+Finlande!P20+UK!P20</f>
        <v>25756.73</v>
      </c>
    </row>
    <row r="12" spans="1:14" ht="12.75">
      <c r="A12" t="s">
        <v>107</v>
      </c>
      <c r="B12" s="33">
        <f>Belgique!D17+Allemagne!D17+Danemark!D17+France!D18+Italie!D16+'Pays-Bas'!D17+Suède!D17+Finlande!D17+UK!D17</f>
        <v>5060</v>
      </c>
      <c r="C12" s="33">
        <f>Belgique!E17+Allemagne!E17+Danemark!E17+France!E18+Italie!E16+'Pays-Bas'!E17+Suède!E17+Finlande!E17+UK!E17</f>
        <v>5478</v>
      </c>
      <c r="D12" s="33">
        <f>Belgique!F17+Allemagne!F17+Danemark!F17+France!F18+Italie!F16+'Pays-Bas'!F17+Suède!F17+Finlande!F17+UK!F17</f>
        <v>6154</v>
      </c>
      <c r="E12" s="33">
        <f>Belgique!G17+Allemagne!G17+Danemark!G17+France!G18+Italie!G16+'Pays-Bas'!G17+Suède!G17+Finlande!G17+UK!G17</f>
        <v>6963</v>
      </c>
      <c r="F12" s="33">
        <f>Belgique!H17+Allemagne!H17+Danemark!H17+France!H18+Italie!H16+'Pays-Bas'!H17+Suède!H17+Finlande!H17+UK!H17</f>
        <v>6690</v>
      </c>
      <c r="G12" s="33">
        <f>Belgique!I17+Allemagne!I17+Danemark!I17+France!I18+Italie!I16+'Pays-Bas'!I17+Suède!I17+Finlande!I17+UK!I17</f>
        <v>6548</v>
      </c>
      <c r="H12" s="33">
        <f>Belgique!J17+Allemagne!J17+Danemark!J17+France!J18+Italie!J16+'Pays-Bas'!J17+Suède!J17+Finlande!J17+UK!J17</f>
        <v>6113.97</v>
      </c>
      <c r="I12" s="33">
        <f>Belgique!K17+Allemagne!K17+Danemark!K17+France!K18+Italie!K16+'Pays-Bas'!K17+Suède!K17+Finlande!K17+UK!K17</f>
        <v>6130</v>
      </c>
      <c r="J12" s="33">
        <f>Belgique!L17+Allemagne!L17+Danemark!L17+France!L18+Italie!L16+'Pays-Bas'!L17+Suède!L17+Finlande!L17+UK!L17</f>
        <v>6158.8</v>
      </c>
      <c r="K12" s="33">
        <f>Belgique!M17+Allemagne!M17+Danemark!M17+France!M18+Italie!M16+'Pays-Bas'!M17+Suède!M17+Finlande!M17+UK!M17</f>
        <v>6100.9</v>
      </c>
      <c r="L12" s="33">
        <f>Belgique!N17+Allemagne!N17+Danemark!N17+France!N18+Italie!N16+'Pays-Bas'!N17+Suède!N17+Finlande!N17+UK!N17</f>
        <v>7952.05</v>
      </c>
      <c r="M12" s="33">
        <f>Belgique!O17+Allemagne!O17+Danemark!O17+France!O18+Italie!O16+'Pays-Bas'!O17+Suède!O17+Finlande!O17+UK!O17</f>
        <v>9515.2</v>
      </c>
      <c r="N12" s="33">
        <f>Belgique!P17+Allemagne!P17+Danemark!P17+France!P18+Italie!P16+'Pays-Bas'!P17+Suède!P17+Finlande!P17+UK!P17</f>
        <v>9793.01</v>
      </c>
    </row>
    <row r="13" spans="1:14" ht="12.75">
      <c r="A13" t="s">
        <v>108</v>
      </c>
      <c r="B13" s="72">
        <v>1920</v>
      </c>
      <c r="C13" s="72">
        <v>2264</v>
      </c>
      <c r="D13" s="72">
        <v>2935</v>
      </c>
      <c r="E13" s="72">
        <v>3495</v>
      </c>
      <c r="F13" s="72">
        <v>3365</v>
      </c>
      <c r="G13" s="72">
        <v>2462</v>
      </c>
      <c r="H13" s="72">
        <v>1921</v>
      </c>
      <c r="I13" s="72">
        <v>2158</v>
      </c>
      <c r="J13" s="72">
        <v>2875</v>
      </c>
      <c r="K13" s="73">
        <v>3207</v>
      </c>
      <c r="L13" s="72">
        <f>France!N18</f>
        <v>3720</v>
      </c>
      <c r="M13" s="72">
        <f>France!O18</f>
        <v>3929</v>
      </c>
      <c r="N13" s="6">
        <f>France!P18</f>
        <v>3691</v>
      </c>
    </row>
    <row r="14" spans="1:14" ht="12.75">
      <c r="A14" t="s">
        <v>109</v>
      </c>
      <c r="B14" s="83">
        <v>2448</v>
      </c>
      <c r="C14" s="83">
        <v>2494</v>
      </c>
      <c r="D14" s="83">
        <v>2658</v>
      </c>
      <c r="E14" s="83">
        <v>3020</v>
      </c>
      <c r="F14" s="83">
        <v>2923</v>
      </c>
      <c r="G14" s="83">
        <v>3619</v>
      </c>
      <c r="H14" s="83">
        <v>3769</v>
      </c>
      <c r="I14" s="83">
        <v>3491</v>
      </c>
      <c r="J14" s="83">
        <v>2662</v>
      </c>
      <c r="K14" s="83">
        <v>2207</v>
      </c>
      <c r="L14" s="83">
        <f>Danemark!N17</f>
        <v>3255</v>
      </c>
      <c r="M14" s="83">
        <f>Danemark!O17</f>
        <v>4563</v>
      </c>
      <c r="N14" s="6">
        <f>Danemark!P17</f>
        <v>5312</v>
      </c>
    </row>
    <row r="17" ht="12.75">
      <c r="L17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7"/>
  <sheetViews>
    <sheetView zoomScale="95" zoomScaleNormal="95" zoomScalePageLayoutView="0" workbookViewId="0" topLeftCell="A4">
      <pane xSplit="3" ySplit="2" topLeftCell="M6" activePane="bottomRight" state="frozen"/>
      <selection pane="topLeft" activeCell="A11" sqref="A11:M11"/>
      <selection pane="topRight" activeCell="A11" sqref="A11:M11"/>
      <selection pane="bottomLeft" activeCell="A11" sqref="A11:M11"/>
      <selection pane="bottomRight" activeCell="Y28" sqref="Y28"/>
    </sheetView>
  </sheetViews>
  <sheetFormatPr defaultColWidth="11.421875" defaultRowHeight="12.75"/>
  <cols>
    <col min="2" max="2" width="14.421875" style="0" customWidth="1"/>
    <col min="3" max="3" width="6.28125" style="0" customWidth="1"/>
    <col min="4" max="4" width="1.7109375" style="0" customWidth="1"/>
    <col min="5" max="8" width="11.421875" style="0" hidden="1" customWidth="1"/>
    <col min="9" max="9" width="11.57421875" style="0" hidden="1" customWidth="1"/>
    <col min="10" max="10" width="10.421875" style="0" customWidth="1"/>
    <col min="13" max="15" width="0" style="0" hidden="1" customWidth="1"/>
    <col min="18" max="23" width="11.421875" style="240" customWidth="1"/>
  </cols>
  <sheetData>
    <row r="1" spans="1:9" ht="16.5" customHeight="1">
      <c r="A1" s="107" t="s">
        <v>84</v>
      </c>
      <c r="B1" s="108"/>
      <c r="C1" s="108"/>
      <c r="D1" s="108"/>
      <c r="E1" s="1"/>
      <c r="F1" s="1"/>
      <c r="G1" s="1"/>
      <c r="H1" s="1"/>
      <c r="I1" s="1"/>
    </row>
    <row r="2" spans="1:9" ht="16.5" customHeight="1">
      <c r="A2" s="372" t="s">
        <v>41</v>
      </c>
      <c r="B2" s="372"/>
      <c r="C2" s="372"/>
      <c r="D2" s="372"/>
      <c r="E2" s="372"/>
      <c r="F2" s="372"/>
      <c r="G2" s="372"/>
      <c r="H2" s="372"/>
      <c r="I2" s="372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3" s="24" customFormat="1" ht="19.5" customHeight="1">
      <c r="A5" s="143" t="s">
        <v>0</v>
      </c>
      <c r="B5" s="144"/>
      <c r="C5" s="145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12">
        <v>2002</v>
      </c>
      <c r="J5" s="112">
        <v>2003</v>
      </c>
      <c r="K5" s="148">
        <v>2004</v>
      </c>
      <c r="L5" s="112">
        <v>2005</v>
      </c>
      <c r="M5" s="148">
        <v>2006</v>
      </c>
      <c r="N5" s="112">
        <v>2007</v>
      </c>
      <c r="O5" s="112">
        <v>2008</v>
      </c>
      <c r="P5" s="112">
        <v>2009</v>
      </c>
      <c r="Q5" s="112">
        <v>2010</v>
      </c>
      <c r="R5" s="112">
        <v>2011</v>
      </c>
      <c r="S5" s="112">
        <v>2012</v>
      </c>
      <c r="T5" s="112">
        <v>2013</v>
      </c>
      <c r="U5" s="112">
        <v>2014</v>
      </c>
      <c r="V5" s="112">
        <v>2015</v>
      </c>
      <c r="W5" s="112">
        <v>2016</v>
      </c>
    </row>
    <row r="6" spans="1:23" ht="19.5" customHeight="1">
      <c r="A6" s="7" t="s">
        <v>1</v>
      </c>
      <c r="B6" s="8"/>
      <c r="C6" s="9"/>
      <c r="D6" s="6">
        <v>1137</v>
      </c>
      <c r="E6" s="6">
        <v>1099</v>
      </c>
      <c r="F6" s="6">
        <v>1299</v>
      </c>
      <c r="G6" s="6">
        <v>1151</v>
      </c>
      <c r="H6" s="6">
        <v>1330</v>
      </c>
      <c r="I6" s="6">
        <v>1109</v>
      </c>
      <c r="J6" s="6">
        <v>1323</v>
      </c>
      <c r="K6" s="6">
        <v>1283</v>
      </c>
      <c r="L6" s="5">
        <v>1226</v>
      </c>
      <c r="M6" s="6">
        <v>1058</v>
      </c>
      <c r="N6" s="5"/>
      <c r="O6" s="5"/>
      <c r="P6" s="5"/>
      <c r="Q6" s="5"/>
      <c r="R6" s="196"/>
      <c r="S6" s="196"/>
      <c r="T6" s="196"/>
      <c r="U6" s="196"/>
      <c r="V6" s="196"/>
      <c r="W6" s="196"/>
    </row>
    <row r="7" spans="1:23" ht="19.5" customHeight="1">
      <c r="A7" s="7" t="s">
        <v>2</v>
      </c>
      <c r="B7" s="8"/>
      <c r="C7" s="9"/>
      <c r="D7" s="6">
        <v>105</v>
      </c>
      <c r="E7" s="6">
        <v>98</v>
      </c>
      <c r="F7" s="6">
        <v>16</v>
      </c>
      <c r="G7" s="6">
        <v>9</v>
      </c>
      <c r="H7" s="6">
        <v>50</v>
      </c>
      <c r="I7" s="6">
        <v>51</v>
      </c>
      <c r="J7" s="6">
        <v>53</v>
      </c>
      <c r="K7" s="5">
        <v>58</v>
      </c>
      <c r="L7" s="5">
        <v>32</v>
      </c>
      <c r="M7" s="5">
        <v>51</v>
      </c>
      <c r="N7" s="5"/>
      <c r="O7" s="5"/>
      <c r="P7" s="5"/>
      <c r="Q7" s="5"/>
      <c r="R7" s="196"/>
      <c r="S7" s="196"/>
      <c r="T7" s="196"/>
      <c r="U7" s="196"/>
      <c r="V7" s="196"/>
      <c r="W7" s="196"/>
    </row>
    <row r="8" spans="1:23" ht="19.5" customHeight="1">
      <c r="A8" s="7" t="s">
        <v>42</v>
      </c>
      <c r="B8" s="8"/>
      <c r="C8" s="9"/>
      <c r="D8" s="6">
        <v>58</v>
      </c>
      <c r="E8" s="6">
        <v>76</v>
      </c>
      <c r="F8" s="6">
        <v>54</v>
      </c>
      <c r="G8" s="6">
        <v>93</v>
      </c>
      <c r="H8" s="6">
        <v>83</v>
      </c>
      <c r="I8" s="6">
        <v>73</v>
      </c>
      <c r="J8" s="6">
        <v>62</v>
      </c>
      <c r="K8" s="5">
        <v>60</v>
      </c>
      <c r="L8" s="5"/>
      <c r="M8" s="5"/>
      <c r="N8" s="5"/>
      <c r="O8" s="5"/>
      <c r="P8" s="5"/>
      <c r="Q8" s="5"/>
      <c r="R8" s="196"/>
      <c r="S8" s="196"/>
      <c r="T8" s="196"/>
      <c r="U8" s="196"/>
      <c r="V8" s="196"/>
      <c r="W8" s="196"/>
    </row>
    <row r="9" spans="1:23" ht="19.5" customHeight="1">
      <c r="A9" s="7" t="s">
        <v>78</v>
      </c>
      <c r="B9" s="8"/>
      <c r="C9" s="9"/>
      <c r="D9" s="6">
        <v>483</v>
      </c>
      <c r="E9" s="6">
        <v>455</v>
      </c>
      <c r="F9" s="6">
        <v>199</v>
      </c>
      <c r="G9" s="6">
        <v>322</v>
      </c>
      <c r="H9" s="6">
        <v>233</v>
      </c>
      <c r="I9" s="6">
        <v>176</v>
      </c>
      <c r="J9" s="6">
        <v>226</v>
      </c>
      <c r="K9" s="5">
        <v>234</v>
      </c>
      <c r="L9" s="5">
        <v>215</v>
      </c>
      <c r="M9" s="5">
        <v>261</v>
      </c>
      <c r="N9" s="5"/>
      <c r="O9" s="5"/>
      <c r="P9" s="5"/>
      <c r="Q9" s="5"/>
      <c r="R9" s="196"/>
      <c r="S9" s="196"/>
      <c r="T9" s="196"/>
      <c r="U9" s="196"/>
      <c r="V9" s="196"/>
      <c r="W9" s="196"/>
    </row>
    <row r="10" spans="1:23" ht="19.5" customHeight="1">
      <c r="A10" s="7" t="s">
        <v>79</v>
      </c>
      <c r="B10" s="8"/>
      <c r="C10" s="9"/>
      <c r="D10" s="6">
        <v>134</v>
      </c>
      <c r="E10" s="6">
        <v>154</v>
      </c>
      <c r="F10" s="6">
        <v>90</v>
      </c>
      <c r="G10" s="6">
        <v>198</v>
      </c>
      <c r="H10" s="6">
        <v>190</v>
      </c>
      <c r="I10" s="6">
        <v>212</v>
      </c>
      <c r="J10" s="6">
        <v>150</v>
      </c>
      <c r="K10" s="5">
        <v>110</v>
      </c>
      <c r="L10" s="5">
        <v>94</v>
      </c>
      <c r="M10" s="5">
        <v>123</v>
      </c>
      <c r="N10" s="5"/>
      <c r="O10" s="5"/>
      <c r="P10" s="5"/>
      <c r="Q10" s="5"/>
      <c r="R10" s="196"/>
      <c r="S10" s="196"/>
      <c r="T10" s="196"/>
      <c r="U10" s="196"/>
      <c r="V10" s="196"/>
      <c r="W10" s="196"/>
    </row>
    <row r="11" spans="1:23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196"/>
      <c r="S11" s="196"/>
      <c r="T11" s="196"/>
      <c r="U11" s="196"/>
      <c r="V11" s="196"/>
      <c r="W11" s="196"/>
    </row>
    <row r="12" spans="1:23" ht="19.5" customHeight="1">
      <c r="A12" s="7" t="s">
        <v>5</v>
      </c>
      <c r="B12" s="8"/>
      <c r="C12" s="9"/>
      <c r="D12" s="6">
        <v>511</v>
      </c>
      <c r="E12" s="6">
        <v>469</v>
      </c>
      <c r="F12" s="6">
        <v>625</v>
      </c>
      <c r="G12" s="6">
        <v>465</v>
      </c>
      <c r="H12" s="6">
        <v>659</v>
      </c>
      <c r="I12" s="6">
        <v>513</v>
      </c>
      <c r="J12" s="6">
        <v>614</v>
      </c>
      <c r="K12" s="5">
        <v>643</v>
      </c>
      <c r="L12" s="5"/>
      <c r="M12" s="5"/>
      <c r="N12" s="5"/>
      <c r="O12" s="5"/>
      <c r="P12" s="5"/>
      <c r="Q12" s="5"/>
      <c r="R12" s="196"/>
      <c r="S12" s="196"/>
      <c r="T12" s="196"/>
      <c r="U12" s="196"/>
      <c r="V12" s="196"/>
      <c r="W12" s="196"/>
    </row>
    <row r="13" spans="1:23" ht="19.5" customHeight="1">
      <c r="A13" s="7" t="s">
        <v>6</v>
      </c>
      <c r="B13" s="8"/>
      <c r="C13" s="9"/>
      <c r="D13" s="6">
        <v>3507</v>
      </c>
      <c r="E13" s="6">
        <v>3695</v>
      </c>
      <c r="F13" s="6">
        <v>2471</v>
      </c>
      <c r="G13" s="6">
        <v>3497</v>
      </c>
      <c r="H13" s="6">
        <v>2992</v>
      </c>
      <c r="I13" s="6">
        <v>3041</v>
      </c>
      <c r="J13" s="6">
        <v>2837</v>
      </c>
      <c r="K13" s="6">
        <v>2632</v>
      </c>
      <c r="L13" s="5">
        <v>2679</v>
      </c>
      <c r="M13" s="6">
        <v>2613</v>
      </c>
      <c r="N13" s="5"/>
      <c r="O13" s="5"/>
      <c r="P13" s="5"/>
      <c r="Q13" s="5"/>
      <c r="R13" s="196"/>
      <c r="S13" s="196"/>
      <c r="T13" s="196"/>
      <c r="U13" s="196"/>
      <c r="V13" s="196"/>
      <c r="W13" s="196"/>
    </row>
    <row r="14" spans="1:23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196"/>
      <c r="S14" s="196"/>
      <c r="T14" s="196"/>
      <c r="U14" s="196"/>
      <c r="V14" s="196"/>
      <c r="W14" s="196"/>
    </row>
    <row r="15" spans="1:23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196"/>
      <c r="S15" s="196"/>
      <c r="T15" s="196"/>
      <c r="U15" s="196"/>
      <c r="V15" s="196"/>
      <c r="W15" s="196"/>
    </row>
    <row r="16" spans="1:23" ht="19.5" customHeight="1">
      <c r="A16" s="150" t="s">
        <v>9</v>
      </c>
      <c r="B16" s="151"/>
      <c r="C16" s="152"/>
      <c r="D16" s="125">
        <f aca="true" t="shared" si="0" ref="D16:K16">SUM(D6:D15)</f>
        <v>5935</v>
      </c>
      <c r="E16" s="125">
        <f t="shared" si="0"/>
        <v>6046</v>
      </c>
      <c r="F16" s="125">
        <f t="shared" si="0"/>
        <v>4754</v>
      </c>
      <c r="G16" s="125">
        <f t="shared" si="0"/>
        <v>5735</v>
      </c>
      <c r="H16" s="125">
        <f t="shared" si="0"/>
        <v>5537</v>
      </c>
      <c r="I16" s="125">
        <f t="shared" si="0"/>
        <v>5175</v>
      </c>
      <c r="J16" s="125">
        <f t="shared" si="0"/>
        <v>5265</v>
      </c>
      <c r="K16" s="125">
        <f t="shared" si="0"/>
        <v>5020</v>
      </c>
      <c r="L16" s="154"/>
      <c r="M16" s="125"/>
      <c r="N16" s="154"/>
      <c r="O16" s="154"/>
      <c r="P16" s="154"/>
      <c r="Q16" s="154"/>
      <c r="R16" s="254"/>
      <c r="S16" s="254"/>
      <c r="T16" s="254"/>
      <c r="U16" s="254"/>
      <c r="V16" s="254"/>
      <c r="W16" s="254"/>
    </row>
    <row r="17" spans="1:23" ht="19.5" customHeight="1">
      <c r="A17" s="7" t="s">
        <v>10</v>
      </c>
      <c r="B17" s="8"/>
      <c r="C17" s="9"/>
      <c r="D17" s="6">
        <v>16</v>
      </c>
      <c r="E17" s="6">
        <v>45</v>
      </c>
      <c r="F17" s="6">
        <v>43</v>
      </c>
      <c r="G17" s="6">
        <v>17</v>
      </c>
      <c r="H17" s="6">
        <v>18</v>
      </c>
      <c r="I17" s="6">
        <v>11</v>
      </c>
      <c r="J17" s="6">
        <v>0</v>
      </c>
      <c r="K17" s="5">
        <v>0</v>
      </c>
      <c r="L17" s="5">
        <v>9</v>
      </c>
      <c r="M17" s="5">
        <v>9</v>
      </c>
      <c r="N17" s="5"/>
      <c r="O17" s="5">
        <v>2</v>
      </c>
      <c r="P17" s="5">
        <v>5</v>
      </c>
      <c r="Q17" s="5">
        <v>6</v>
      </c>
      <c r="R17" s="196">
        <v>15</v>
      </c>
      <c r="S17" s="196">
        <v>10</v>
      </c>
      <c r="T17" s="196"/>
      <c r="U17" s="196"/>
      <c r="V17" s="196"/>
      <c r="W17" s="196"/>
    </row>
    <row r="18" spans="1:23" ht="19.5" customHeight="1">
      <c r="A18" s="7" t="s">
        <v>11</v>
      </c>
      <c r="B18" s="8"/>
      <c r="C18" s="9"/>
      <c r="D18" s="6">
        <v>4</v>
      </c>
      <c r="E18" s="6">
        <v>33</v>
      </c>
      <c r="F18" s="6">
        <v>6</v>
      </c>
      <c r="G18" s="6">
        <v>36</v>
      </c>
      <c r="H18" s="6">
        <v>46</v>
      </c>
      <c r="I18" s="6">
        <v>30</v>
      </c>
      <c r="J18" s="6">
        <v>13</v>
      </c>
      <c r="K18" s="5">
        <v>14</v>
      </c>
      <c r="L18" s="5">
        <v>0</v>
      </c>
      <c r="M18" s="5">
        <v>0</v>
      </c>
      <c r="N18" s="5"/>
      <c r="O18" s="5">
        <v>3</v>
      </c>
      <c r="P18" s="5"/>
      <c r="Q18" s="5">
        <v>2</v>
      </c>
      <c r="R18" s="196">
        <v>2</v>
      </c>
      <c r="S18" s="196">
        <v>8</v>
      </c>
      <c r="T18" s="196"/>
      <c r="U18" s="196"/>
      <c r="V18" s="196"/>
      <c r="W18" s="196"/>
    </row>
    <row r="19" spans="1:23" ht="19.5" customHeight="1">
      <c r="A19" s="38" t="s">
        <v>197</v>
      </c>
      <c r="B19" s="8"/>
      <c r="C19" s="9"/>
      <c r="D19" s="6">
        <v>2345</v>
      </c>
      <c r="E19" s="6">
        <v>2433</v>
      </c>
      <c r="F19" s="6">
        <v>2398</v>
      </c>
      <c r="G19" s="6">
        <v>2114</v>
      </c>
      <c r="H19" s="6">
        <v>1851</v>
      </c>
      <c r="I19" s="6">
        <v>1824</v>
      </c>
      <c r="J19" s="6">
        <v>1604</v>
      </c>
      <c r="K19" s="6">
        <v>1377</v>
      </c>
      <c r="L19" s="5">
        <v>1209</v>
      </c>
      <c r="M19" s="6">
        <v>1200</v>
      </c>
      <c r="N19" s="5"/>
      <c r="O19" s="5">
        <v>775</v>
      </c>
      <c r="P19" s="5">
        <v>724</v>
      </c>
      <c r="Q19" s="5">
        <v>845</v>
      </c>
      <c r="R19" s="196">
        <v>741</v>
      </c>
      <c r="S19" s="196">
        <v>562</v>
      </c>
      <c r="T19" s="196">
        <v>467</v>
      </c>
      <c r="U19" s="196">
        <v>424</v>
      </c>
      <c r="V19" s="196">
        <v>330</v>
      </c>
      <c r="W19" s="196">
        <v>333</v>
      </c>
    </row>
    <row r="20" spans="1:23" ht="19.5" customHeight="1">
      <c r="A20" s="7" t="s">
        <v>13</v>
      </c>
      <c r="B20" s="8"/>
      <c r="C20" s="9"/>
      <c r="D20" s="6">
        <v>1570</v>
      </c>
      <c r="E20" s="6">
        <v>3368</v>
      </c>
      <c r="F20" s="6">
        <v>3500</v>
      </c>
      <c r="G20" s="6">
        <v>2949</v>
      </c>
      <c r="H20" s="6">
        <v>2917</v>
      </c>
      <c r="I20" s="6">
        <v>2560</v>
      </c>
      <c r="J20" s="6">
        <v>1986</v>
      </c>
      <c r="K20" s="6">
        <v>2011</v>
      </c>
      <c r="L20" s="5">
        <v>2466</v>
      </c>
      <c r="M20" s="6">
        <v>2470</v>
      </c>
      <c r="N20" s="5">
        <v>2105</v>
      </c>
      <c r="O20" s="5">
        <v>885</v>
      </c>
      <c r="P20" s="5">
        <v>1029</v>
      </c>
      <c r="Q20" s="5">
        <v>747</v>
      </c>
      <c r="R20" s="196">
        <v>496</v>
      </c>
      <c r="S20" s="196">
        <v>376</v>
      </c>
      <c r="T20" s="196">
        <v>202</v>
      </c>
      <c r="U20" s="196">
        <v>180</v>
      </c>
      <c r="V20" s="196">
        <v>193</v>
      </c>
      <c r="W20" s="196">
        <v>309</v>
      </c>
    </row>
    <row r="21" spans="1:23" ht="19.5" customHeight="1">
      <c r="A21" s="7" t="s">
        <v>14</v>
      </c>
      <c r="B21" s="8"/>
      <c r="C21" s="9"/>
      <c r="D21" s="6">
        <v>63</v>
      </c>
      <c r="E21" s="6">
        <v>148</v>
      </c>
      <c r="F21" s="6">
        <v>322</v>
      </c>
      <c r="G21" s="6">
        <v>386</v>
      </c>
      <c r="H21" s="6">
        <v>277</v>
      </c>
      <c r="I21" s="6">
        <v>153</v>
      </c>
      <c r="J21" s="6">
        <v>189</v>
      </c>
      <c r="K21" s="5">
        <v>139</v>
      </c>
      <c r="L21" s="5">
        <v>183</v>
      </c>
      <c r="M21" s="5">
        <v>225</v>
      </c>
      <c r="N21" s="5">
        <v>291</v>
      </c>
      <c r="O21" s="5">
        <v>113</v>
      </c>
      <c r="P21" s="5">
        <v>49</v>
      </c>
      <c r="Q21" s="5">
        <v>88</v>
      </c>
      <c r="R21" s="196">
        <v>63</v>
      </c>
      <c r="S21" s="196">
        <v>35</v>
      </c>
      <c r="T21" s="196">
        <v>22</v>
      </c>
      <c r="U21" s="196"/>
      <c r="V21" s="196"/>
      <c r="W21" s="196"/>
    </row>
    <row r="22" spans="1:23" ht="19.5" customHeight="1">
      <c r="A22" s="191" t="s">
        <v>198</v>
      </c>
      <c r="B22" s="8"/>
      <c r="C22" s="9"/>
      <c r="D22" s="6">
        <v>30</v>
      </c>
      <c r="E22" s="6">
        <v>63</v>
      </c>
      <c r="F22" s="6">
        <v>28</v>
      </c>
      <c r="G22" s="6">
        <v>48</v>
      </c>
      <c r="H22" s="6">
        <v>39</v>
      </c>
      <c r="I22" s="6">
        <v>19</v>
      </c>
      <c r="J22" s="6">
        <v>22</v>
      </c>
      <c r="K22" s="5">
        <v>13</v>
      </c>
      <c r="L22" s="5">
        <v>10</v>
      </c>
      <c r="M22" s="5">
        <v>30</v>
      </c>
      <c r="N22" s="5"/>
      <c r="O22" s="5">
        <v>8</v>
      </c>
      <c r="P22" s="5">
        <v>10</v>
      </c>
      <c r="Q22" s="5">
        <v>3</v>
      </c>
      <c r="R22" s="196">
        <v>3</v>
      </c>
      <c r="S22" s="196">
        <v>1</v>
      </c>
      <c r="T22" s="196"/>
      <c r="U22" s="196"/>
      <c r="V22" s="196"/>
      <c r="W22" s="196"/>
    </row>
    <row r="23" spans="1:23" ht="19.5" customHeight="1">
      <c r="A23" s="193" t="s">
        <v>199</v>
      </c>
      <c r="B23" s="8"/>
      <c r="C23" s="9"/>
      <c r="D23" s="6">
        <v>763</v>
      </c>
      <c r="E23" s="6">
        <v>1001</v>
      </c>
      <c r="F23" s="6">
        <v>713</v>
      </c>
      <c r="G23" s="6">
        <v>1102</v>
      </c>
      <c r="H23" s="6">
        <v>1540</v>
      </c>
      <c r="I23" s="6">
        <v>1900</v>
      </c>
      <c r="J23" s="6">
        <v>1935</v>
      </c>
      <c r="K23" s="6">
        <v>1957</v>
      </c>
      <c r="L23" s="5">
        <v>1910</v>
      </c>
      <c r="M23" s="6">
        <v>1700</v>
      </c>
      <c r="N23" s="5">
        <v>1729</v>
      </c>
      <c r="O23" s="5">
        <v>1721</v>
      </c>
      <c r="P23" s="5">
        <v>2278</v>
      </c>
      <c r="Q23" s="5">
        <v>1247</v>
      </c>
      <c r="R23" s="196">
        <v>634</v>
      </c>
      <c r="S23" s="196">
        <v>768</v>
      </c>
      <c r="T23" s="196">
        <v>972</v>
      </c>
      <c r="U23" s="196">
        <v>1129</v>
      </c>
      <c r="V23" s="196">
        <v>1315</v>
      </c>
      <c r="W23" s="196">
        <v>956</v>
      </c>
    </row>
    <row r="24" spans="1:23" ht="19.5" customHeight="1">
      <c r="A24" s="7" t="s">
        <v>17</v>
      </c>
      <c r="B24" s="8"/>
      <c r="C24" s="9"/>
      <c r="D24" s="6">
        <v>16794</v>
      </c>
      <c r="E24" s="6">
        <v>20495</v>
      </c>
      <c r="F24" s="6">
        <v>10825</v>
      </c>
      <c r="G24" s="6">
        <v>13904</v>
      </c>
      <c r="H24" s="6">
        <v>12087</v>
      </c>
      <c r="I24" s="6">
        <v>9109</v>
      </c>
      <c r="J24" s="6">
        <v>13625</v>
      </c>
      <c r="K24" s="6">
        <v>17020</v>
      </c>
      <c r="L24" s="5">
        <v>20322</v>
      </c>
      <c r="M24" s="6">
        <v>17650</v>
      </c>
      <c r="N24" s="5">
        <v>13617</v>
      </c>
      <c r="O24" s="5">
        <v>10004</v>
      </c>
      <c r="P24" s="5">
        <v>11051</v>
      </c>
      <c r="Q24" s="5">
        <v>8497</v>
      </c>
      <c r="R24" s="196">
        <v>7158</v>
      </c>
      <c r="S24" s="196">
        <v>10506</v>
      </c>
      <c r="T24" s="196">
        <v>9142</v>
      </c>
      <c r="U24" s="196">
        <v>9099</v>
      </c>
      <c r="V24" s="196">
        <v>9828</v>
      </c>
      <c r="W24" s="196">
        <v>9542</v>
      </c>
    </row>
    <row r="25" spans="1:23" ht="19.5" customHeight="1">
      <c r="A25" s="7" t="s">
        <v>47</v>
      </c>
      <c r="B25" s="8"/>
      <c r="C25" s="9"/>
      <c r="D25" s="6">
        <v>99</v>
      </c>
      <c r="E25" s="6">
        <v>194</v>
      </c>
      <c r="F25" s="6">
        <v>287</v>
      </c>
      <c r="G25" s="6">
        <v>310</v>
      </c>
      <c r="H25" s="6">
        <v>103</v>
      </c>
      <c r="I25" s="6">
        <v>52</v>
      </c>
      <c r="J25" s="6">
        <v>25</v>
      </c>
      <c r="K25" s="5">
        <v>71</v>
      </c>
      <c r="L25" s="5">
        <v>146</v>
      </c>
      <c r="M25" s="5">
        <v>270</v>
      </c>
      <c r="N25" s="5">
        <v>396</v>
      </c>
      <c r="O25" s="5">
        <v>263</v>
      </c>
      <c r="P25" s="5">
        <v>214</v>
      </c>
      <c r="Q25" s="5">
        <v>96</v>
      </c>
      <c r="R25" s="196">
        <v>113</v>
      </c>
      <c r="S25" s="196">
        <v>254</v>
      </c>
      <c r="T25" s="196">
        <v>263</v>
      </c>
      <c r="U25" s="196">
        <v>283</v>
      </c>
      <c r="V25" s="196">
        <v>275</v>
      </c>
      <c r="W25" s="196">
        <v>263</v>
      </c>
    </row>
    <row r="26" spans="1:23" ht="19.5" customHeight="1">
      <c r="A26" s="7" t="s">
        <v>18</v>
      </c>
      <c r="B26" s="8"/>
      <c r="C26" s="9"/>
      <c r="D26" s="6">
        <v>3648</v>
      </c>
      <c r="E26" s="6">
        <v>3251</v>
      </c>
      <c r="F26" s="6">
        <v>960</v>
      </c>
      <c r="G26" s="6">
        <v>2141</v>
      </c>
      <c r="H26" s="6">
        <v>1844</v>
      </c>
      <c r="I26" s="6">
        <v>2105</v>
      </c>
      <c r="J26" s="6">
        <v>2896</v>
      </c>
      <c r="K26" s="6">
        <f>1887+708</f>
        <v>2595</v>
      </c>
      <c r="L26" s="5">
        <f>756+900</f>
        <v>1656</v>
      </c>
      <c r="M26" s="6">
        <v>2100</v>
      </c>
      <c r="N26" s="5">
        <v>1567</v>
      </c>
      <c r="O26" s="5">
        <v>1347</v>
      </c>
      <c r="P26" s="5">
        <v>1673</v>
      </c>
      <c r="Q26" s="5">
        <v>804</v>
      </c>
      <c r="R26" s="196">
        <v>1271</v>
      </c>
      <c r="S26" s="196">
        <v>1662</v>
      </c>
      <c r="T26" s="196">
        <v>1337</v>
      </c>
      <c r="U26" s="196">
        <v>809</v>
      </c>
      <c r="V26" s="196">
        <v>611</v>
      </c>
      <c r="W26" s="196">
        <v>803</v>
      </c>
    </row>
    <row r="27" spans="1:23" ht="19.5" customHeight="1">
      <c r="A27" s="7" t="s">
        <v>19</v>
      </c>
      <c r="B27" s="8"/>
      <c r="C27" s="9"/>
      <c r="D27" s="6">
        <v>158</v>
      </c>
      <c r="E27" s="6">
        <v>208</v>
      </c>
      <c r="F27" s="6">
        <v>1425</v>
      </c>
      <c r="G27" s="6">
        <v>367</v>
      </c>
      <c r="H27" s="6">
        <v>375</v>
      </c>
      <c r="I27" s="6">
        <v>292</v>
      </c>
      <c r="J27" s="6">
        <f>J28-SUM(J17:J26)</f>
        <v>308</v>
      </c>
      <c r="K27" s="6">
        <f>K28-SUM(K17:K26)</f>
        <v>238</v>
      </c>
      <c r="L27" s="6"/>
      <c r="M27" s="6">
        <v>220</v>
      </c>
      <c r="N27" s="5"/>
      <c r="O27" s="5">
        <f>103+134+3</f>
        <v>240</v>
      </c>
      <c r="P27" s="5"/>
      <c r="Q27" s="5">
        <f>12494-12335</f>
        <v>159</v>
      </c>
      <c r="R27" s="196">
        <v>129</v>
      </c>
      <c r="S27" s="196">
        <f>14350-14182</f>
        <v>168</v>
      </c>
      <c r="T27" s="196"/>
      <c r="U27" s="196"/>
      <c r="V27" s="196"/>
      <c r="W27" s="196"/>
    </row>
    <row r="28" spans="1:23" ht="19.5" customHeight="1">
      <c r="A28" s="150" t="s">
        <v>20</v>
      </c>
      <c r="B28" s="151"/>
      <c r="C28" s="152"/>
      <c r="D28" s="125">
        <f aca="true" t="shared" si="1" ref="D28:I28">SUM(D17:D27)</f>
        <v>25490</v>
      </c>
      <c r="E28" s="125">
        <f t="shared" si="1"/>
        <v>31239</v>
      </c>
      <c r="F28" s="125">
        <f t="shared" si="1"/>
        <v>20507</v>
      </c>
      <c r="G28" s="125">
        <f t="shared" si="1"/>
        <v>23374</v>
      </c>
      <c r="H28" s="125">
        <f t="shared" si="1"/>
        <v>21097</v>
      </c>
      <c r="I28" s="125">
        <f t="shared" si="1"/>
        <v>18055</v>
      </c>
      <c r="J28" s="125">
        <v>22603</v>
      </c>
      <c r="K28" s="125">
        <v>25435</v>
      </c>
      <c r="L28" s="125">
        <f aca="true" t="shared" si="2" ref="L28:R28">SUM(L17:L27)</f>
        <v>27911</v>
      </c>
      <c r="M28" s="125">
        <f t="shared" si="2"/>
        <v>25874</v>
      </c>
      <c r="N28" s="125">
        <f t="shared" si="2"/>
        <v>19705</v>
      </c>
      <c r="O28" s="125">
        <f t="shared" si="2"/>
        <v>15361</v>
      </c>
      <c r="P28" s="125">
        <f t="shared" si="2"/>
        <v>17033</v>
      </c>
      <c r="Q28" s="125">
        <f t="shared" si="2"/>
        <v>12494</v>
      </c>
      <c r="R28" s="125">
        <f t="shared" si="2"/>
        <v>10625</v>
      </c>
      <c r="S28" s="125">
        <f>SUM(S17:S27)</f>
        <v>14350</v>
      </c>
      <c r="T28" s="125">
        <f>SUM(T17:T27)</f>
        <v>12405</v>
      </c>
      <c r="U28" s="125"/>
      <c r="V28" s="125"/>
      <c r="W28" s="125"/>
    </row>
    <row r="29" spans="1:23" ht="19.5" customHeight="1">
      <c r="A29" s="7" t="s">
        <v>21</v>
      </c>
      <c r="B29" s="8"/>
      <c r="C29" s="9"/>
      <c r="D29" s="6">
        <v>3</v>
      </c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196"/>
      <c r="S29" s="196"/>
      <c r="T29" s="196"/>
      <c r="U29" s="196"/>
      <c r="V29" s="196"/>
      <c r="W29" s="196"/>
    </row>
    <row r="30" spans="1:23" ht="19.5" customHeight="1">
      <c r="A30" s="10" t="s">
        <v>22</v>
      </c>
      <c r="B30" s="11"/>
      <c r="C30" s="12"/>
      <c r="D30" s="6"/>
      <c r="E30" s="6"/>
      <c r="F30" s="6"/>
      <c r="G30" s="6"/>
      <c r="H30" s="6">
        <v>5</v>
      </c>
      <c r="I30" s="6"/>
      <c r="J30" s="6"/>
      <c r="K30" s="5"/>
      <c r="L30" s="5"/>
      <c r="M30" s="5"/>
      <c r="N30" s="5"/>
      <c r="O30" s="5"/>
      <c r="P30" s="5"/>
      <c r="Q30" s="5"/>
      <c r="R30" s="196"/>
      <c r="S30" s="196"/>
      <c r="T30" s="196"/>
      <c r="U30" s="196"/>
      <c r="V30" s="196"/>
      <c r="W30" s="196"/>
    </row>
    <row r="31" spans="1:23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196"/>
      <c r="S31" s="196"/>
      <c r="T31" s="196"/>
      <c r="U31" s="196"/>
      <c r="V31" s="196"/>
      <c r="W31" s="196"/>
    </row>
    <row r="32" spans="1:23" ht="19.5" customHeight="1">
      <c r="A32" s="10" t="s">
        <v>24</v>
      </c>
      <c r="B32" s="8"/>
      <c r="C32" s="9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196"/>
      <c r="S32" s="196"/>
      <c r="T32" s="196"/>
      <c r="U32" s="196"/>
      <c r="V32" s="196"/>
      <c r="W32" s="196"/>
    </row>
    <row r="33" spans="1:23" ht="19.5" customHeight="1">
      <c r="A33" s="7" t="s">
        <v>25</v>
      </c>
      <c r="B33" s="8"/>
      <c r="C33" s="9"/>
      <c r="D33" s="6">
        <v>49</v>
      </c>
      <c r="E33" s="6">
        <v>47</v>
      </c>
      <c r="F33" s="6">
        <v>32</v>
      </c>
      <c r="G33" s="6">
        <v>1</v>
      </c>
      <c r="H33" s="6">
        <v>39</v>
      </c>
      <c r="I33" s="6">
        <v>13</v>
      </c>
      <c r="J33" s="6">
        <v>7</v>
      </c>
      <c r="K33" s="5">
        <v>0</v>
      </c>
      <c r="L33" s="5">
        <v>0</v>
      </c>
      <c r="M33" s="5"/>
      <c r="N33" s="5"/>
      <c r="O33" s="5"/>
      <c r="P33" s="5"/>
      <c r="Q33" s="5"/>
      <c r="R33" s="196"/>
      <c r="S33" s="196"/>
      <c r="T33" s="196"/>
      <c r="U33" s="196"/>
      <c r="V33" s="196"/>
      <c r="W33" s="196"/>
    </row>
    <row r="34" spans="1:23" ht="19.5" customHeight="1">
      <c r="A34" s="7" t="s">
        <v>26</v>
      </c>
      <c r="B34" s="8"/>
      <c r="C34" s="9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196"/>
      <c r="S34" s="196"/>
      <c r="T34" s="196"/>
      <c r="U34" s="196"/>
      <c r="V34" s="196"/>
      <c r="W34" s="196"/>
    </row>
    <row r="35" spans="1:23" ht="19.5" customHeight="1">
      <c r="A35" s="7" t="s">
        <v>27</v>
      </c>
      <c r="B35" s="8"/>
      <c r="C35" s="9"/>
      <c r="D35" s="6">
        <v>23</v>
      </c>
      <c r="E35" s="6">
        <v>220</v>
      </c>
      <c r="F35" s="6">
        <v>117</v>
      </c>
      <c r="G35" s="6">
        <v>68</v>
      </c>
      <c r="H35" s="6">
        <v>172</v>
      </c>
      <c r="I35" s="6">
        <v>213</v>
      </c>
      <c r="J35" s="6">
        <v>213</v>
      </c>
      <c r="K35" s="5">
        <v>84</v>
      </c>
      <c r="L35" s="5">
        <v>74</v>
      </c>
      <c r="M35" s="5"/>
      <c r="N35" s="5"/>
      <c r="O35" s="5"/>
      <c r="P35" s="5"/>
      <c r="Q35" s="5"/>
      <c r="R35" s="196"/>
      <c r="S35" s="196"/>
      <c r="T35" s="196"/>
      <c r="U35" s="196"/>
      <c r="V35" s="196"/>
      <c r="W35" s="196"/>
    </row>
    <row r="36" spans="1:23" ht="19.5" customHeight="1">
      <c r="A36" s="7" t="s">
        <v>28</v>
      </c>
      <c r="B36" s="8"/>
      <c r="C36" s="9"/>
      <c r="D36" s="6"/>
      <c r="E36" s="6">
        <v>14</v>
      </c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196"/>
      <c r="S36" s="196"/>
      <c r="T36" s="196"/>
      <c r="U36" s="196"/>
      <c r="V36" s="196"/>
      <c r="W36" s="196"/>
    </row>
    <row r="37" spans="1:23" ht="19.5" customHeight="1">
      <c r="A37" s="150" t="s">
        <v>29</v>
      </c>
      <c r="B37" s="151"/>
      <c r="C37" s="152"/>
      <c r="D37" s="153">
        <v>75</v>
      </c>
      <c r="E37" s="153">
        <v>281</v>
      </c>
      <c r="F37" s="125">
        <f aca="true" t="shared" si="3" ref="F37:L37">F33+F35</f>
        <v>149</v>
      </c>
      <c r="G37" s="125">
        <f t="shared" si="3"/>
        <v>69</v>
      </c>
      <c r="H37" s="125">
        <f t="shared" si="3"/>
        <v>211</v>
      </c>
      <c r="I37" s="125">
        <f t="shared" si="3"/>
        <v>226</v>
      </c>
      <c r="J37" s="125">
        <f t="shared" si="3"/>
        <v>220</v>
      </c>
      <c r="K37" s="125">
        <f t="shared" si="3"/>
        <v>84</v>
      </c>
      <c r="L37" s="125">
        <f t="shared" si="3"/>
        <v>74</v>
      </c>
      <c r="M37" s="154"/>
      <c r="N37" s="154"/>
      <c r="O37" s="154"/>
      <c r="P37" s="154"/>
      <c r="Q37" s="154"/>
      <c r="R37" s="254"/>
      <c r="S37" s="254"/>
      <c r="T37" s="254"/>
      <c r="U37" s="254"/>
      <c r="V37" s="254"/>
      <c r="W37" s="254"/>
    </row>
    <row r="38" spans="1:23" ht="19.5" customHeight="1">
      <c r="A38" s="7" t="s">
        <v>30</v>
      </c>
      <c r="B38" s="8"/>
      <c r="C38" s="9"/>
      <c r="D38" s="5">
        <v>3468</v>
      </c>
      <c r="E38" s="5">
        <v>2983</v>
      </c>
      <c r="F38" s="5">
        <v>3095</v>
      </c>
      <c r="G38" s="5">
        <v>3401</v>
      </c>
      <c r="H38" s="5">
        <v>3654</v>
      </c>
      <c r="I38" s="5">
        <v>3342</v>
      </c>
      <c r="J38" s="88">
        <v>3735.46</v>
      </c>
      <c r="K38" s="88">
        <v>3758.04</v>
      </c>
      <c r="L38" s="5"/>
      <c r="M38" s="88"/>
      <c r="N38" s="5"/>
      <c r="O38" s="5"/>
      <c r="P38" s="5"/>
      <c r="Q38" s="5"/>
      <c r="R38" s="196"/>
      <c r="S38" s="196"/>
      <c r="T38" s="196"/>
      <c r="U38" s="196"/>
      <c r="V38" s="196"/>
      <c r="W38" s="196"/>
    </row>
    <row r="39" spans="1:23" ht="19.5" customHeight="1">
      <c r="A39" s="7" t="s">
        <v>31</v>
      </c>
      <c r="B39" s="8"/>
      <c r="C39" s="9"/>
      <c r="D39" s="5"/>
      <c r="E39" s="5"/>
      <c r="F39" s="5"/>
      <c r="G39" s="5"/>
      <c r="H39" s="5">
        <v>14</v>
      </c>
      <c r="I39" s="5">
        <v>3</v>
      </c>
      <c r="J39" s="5">
        <v>13</v>
      </c>
      <c r="K39" s="5">
        <v>10</v>
      </c>
      <c r="L39" s="5"/>
      <c r="M39" s="5"/>
      <c r="N39" s="5"/>
      <c r="O39" s="5"/>
      <c r="P39" s="5"/>
      <c r="Q39" s="5"/>
      <c r="R39" s="196"/>
      <c r="S39" s="196"/>
      <c r="T39" s="196"/>
      <c r="U39" s="196"/>
      <c r="V39" s="196"/>
      <c r="W39" s="196"/>
    </row>
    <row r="40" spans="1:23" ht="19.5" customHeight="1">
      <c r="A40" s="7" t="s">
        <v>32</v>
      </c>
      <c r="B40" s="8"/>
      <c r="C40" s="9"/>
      <c r="D40" s="5"/>
      <c r="E40" s="5">
        <v>0.3</v>
      </c>
      <c r="F40" s="5"/>
      <c r="G40" s="5"/>
      <c r="H40" s="5"/>
      <c r="I40" s="5"/>
      <c r="J40" s="5">
        <v>3</v>
      </c>
      <c r="K40" s="5">
        <v>7</v>
      </c>
      <c r="L40" s="5"/>
      <c r="M40" s="5"/>
      <c r="N40" s="5"/>
      <c r="O40" s="5"/>
      <c r="P40" s="5"/>
      <c r="Q40" s="5"/>
      <c r="R40" s="196"/>
      <c r="S40" s="196"/>
      <c r="T40" s="196"/>
      <c r="U40" s="196"/>
      <c r="V40" s="196"/>
      <c r="W40" s="196"/>
    </row>
    <row r="41" spans="1:23" ht="19.5" customHeight="1">
      <c r="A41" s="7" t="s">
        <v>33</v>
      </c>
      <c r="B41" s="8"/>
      <c r="C41" s="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96"/>
      <c r="S41" s="196"/>
      <c r="T41" s="196"/>
      <c r="U41" s="196"/>
      <c r="V41" s="196"/>
      <c r="W41" s="196"/>
    </row>
    <row r="42" spans="1:23" ht="19.5" customHeight="1">
      <c r="A42" s="7" t="s">
        <v>34</v>
      </c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96"/>
      <c r="S42" s="196"/>
      <c r="T42" s="196"/>
      <c r="U42" s="196"/>
      <c r="V42" s="196"/>
      <c r="W42" s="196"/>
    </row>
    <row r="43" spans="1:23" ht="19.5" customHeight="1">
      <c r="A43" s="7" t="s">
        <v>35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96"/>
      <c r="S43" s="196"/>
      <c r="T43" s="196"/>
      <c r="U43" s="196"/>
      <c r="V43" s="196"/>
      <c r="W43" s="196"/>
    </row>
    <row r="44" spans="1:23" ht="19.5" customHeight="1">
      <c r="A44" s="7" t="s">
        <v>36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96"/>
      <c r="S44" s="196"/>
      <c r="T44" s="196"/>
      <c r="U44" s="196"/>
      <c r="V44" s="196"/>
      <c r="W44" s="196"/>
    </row>
    <row r="45" spans="1:23" ht="19.5" customHeight="1">
      <c r="A45" s="7" t="s">
        <v>37</v>
      </c>
      <c r="B45" s="8"/>
      <c r="C45" s="9"/>
      <c r="D45" s="5"/>
      <c r="E45" s="5"/>
      <c r="F45" s="5"/>
      <c r="G45" s="5"/>
      <c r="H45" s="5"/>
      <c r="I45" s="6"/>
      <c r="J45" s="6"/>
      <c r="K45" s="5"/>
      <c r="L45" s="5"/>
      <c r="M45" s="5"/>
      <c r="N45" s="5"/>
      <c r="O45" s="5"/>
      <c r="P45" s="5"/>
      <c r="Q45" s="5"/>
      <c r="R45" s="196"/>
      <c r="S45" s="196"/>
      <c r="T45" s="196"/>
      <c r="U45" s="196"/>
      <c r="V45" s="196"/>
      <c r="W45" s="196"/>
    </row>
    <row r="46" spans="1:23" ht="19.5" customHeight="1">
      <c r="A46" s="150" t="s">
        <v>38</v>
      </c>
      <c r="B46" s="151"/>
      <c r="C46" s="152"/>
      <c r="D46" s="153">
        <v>34968</v>
      </c>
      <c r="E46" s="153">
        <v>40550</v>
      </c>
      <c r="F46" s="153">
        <v>20507</v>
      </c>
      <c r="G46" s="153">
        <v>23374</v>
      </c>
      <c r="H46" s="153"/>
      <c r="I46" s="125">
        <f>I37+I28+I16</f>
        <v>23456</v>
      </c>
      <c r="J46" s="125">
        <f>J37+J28+J16</f>
        <v>28088</v>
      </c>
      <c r="K46" s="125">
        <f>K37+K28+K16</f>
        <v>30539</v>
      </c>
      <c r="L46" s="125">
        <f>L37+L28+L16</f>
        <v>27985</v>
      </c>
      <c r="M46" s="125">
        <f>M37+M28+M16</f>
        <v>25874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</row>
    <row r="47" spans="6:7" ht="12.75">
      <c r="F47" t="s">
        <v>39</v>
      </c>
      <c r="G47" t="s">
        <v>39</v>
      </c>
    </row>
  </sheetData>
  <sheetProtection/>
  <mergeCells count="1"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7"/>
  <sheetViews>
    <sheetView zoomScale="95" zoomScaleNormal="95" zoomScalePageLayoutView="0" workbookViewId="0" topLeftCell="A4">
      <pane xSplit="3" ySplit="2" topLeftCell="D20" activePane="bottomRight" state="frozen"/>
      <selection pane="topLeft" activeCell="A11" sqref="A11:M11"/>
      <selection pane="topRight" activeCell="A11" sqref="A11:M11"/>
      <selection pane="bottomLeft" activeCell="A11" sqref="A11:M11"/>
      <selection pane="bottomRight" activeCell="AA27" sqref="AA27"/>
    </sheetView>
  </sheetViews>
  <sheetFormatPr defaultColWidth="11.421875" defaultRowHeight="12.75"/>
  <cols>
    <col min="2" max="2" width="14.421875" style="0" customWidth="1"/>
    <col min="3" max="3" width="6.28125" style="0" customWidth="1"/>
    <col min="4" max="4" width="1.7109375" style="0" customWidth="1"/>
    <col min="5" max="8" width="11.421875" style="0" hidden="1" customWidth="1"/>
    <col min="9" max="9" width="11.57421875" style="0" hidden="1" customWidth="1"/>
    <col min="10" max="10" width="10.421875" style="0" hidden="1" customWidth="1"/>
    <col min="11" max="17" width="11.421875" style="0" hidden="1" customWidth="1"/>
    <col min="18" max="18" width="11.421875" style="240" hidden="1" customWidth="1"/>
    <col min="19" max="23" width="11.421875" style="240" customWidth="1"/>
  </cols>
  <sheetData>
    <row r="1" spans="1:9" ht="16.5" customHeight="1">
      <c r="A1" s="107" t="s">
        <v>84</v>
      </c>
      <c r="B1" s="108"/>
      <c r="C1" s="108"/>
      <c r="D1" s="108"/>
      <c r="E1" s="1"/>
      <c r="F1" s="1"/>
      <c r="G1" s="1"/>
      <c r="H1" s="1"/>
      <c r="I1" s="1"/>
    </row>
    <row r="2" spans="1:9" ht="16.5" customHeight="1">
      <c r="A2" s="372" t="s">
        <v>41</v>
      </c>
      <c r="B2" s="372"/>
      <c r="C2" s="372"/>
      <c r="D2" s="372"/>
      <c r="E2" s="372"/>
      <c r="F2" s="372"/>
      <c r="G2" s="372"/>
      <c r="H2" s="372"/>
      <c r="I2" s="372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3" s="24" customFormat="1" ht="19.5" customHeight="1">
      <c r="A5" s="143" t="s">
        <v>0</v>
      </c>
      <c r="B5" s="144"/>
      <c r="C5" s="145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12">
        <v>2002</v>
      </c>
      <c r="J5" s="112">
        <v>2003</v>
      </c>
      <c r="K5" s="148">
        <v>2004</v>
      </c>
      <c r="L5" s="112">
        <v>2005</v>
      </c>
      <c r="M5" s="148">
        <v>2006</v>
      </c>
      <c r="N5" s="112">
        <v>2007</v>
      </c>
      <c r="O5" s="148">
        <v>2008</v>
      </c>
      <c r="P5" s="112">
        <v>2009</v>
      </c>
      <c r="Q5" s="112">
        <v>2010</v>
      </c>
      <c r="R5" s="112">
        <v>2011</v>
      </c>
      <c r="S5" s="112">
        <v>2012</v>
      </c>
      <c r="T5" s="112">
        <v>2013</v>
      </c>
      <c r="U5" s="112">
        <v>2014</v>
      </c>
      <c r="V5" s="112">
        <v>2015</v>
      </c>
      <c r="W5" s="112">
        <v>2016</v>
      </c>
    </row>
    <row r="6" spans="1:23" ht="19.5" customHeight="1">
      <c r="A6" s="7" t="s">
        <v>1</v>
      </c>
      <c r="B6" s="8"/>
      <c r="C6" s="9"/>
      <c r="D6" s="6">
        <v>1137</v>
      </c>
      <c r="E6" s="6"/>
      <c r="F6" s="6"/>
      <c r="G6" s="6"/>
      <c r="H6" s="6"/>
      <c r="I6" s="6"/>
      <c r="J6" s="6"/>
      <c r="K6" s="6"/>
      <c r="L6" s="5"/>
      <c r="M6" s="6"/>
      <c r="N6" s="5"/>
      <c r="O6" s="5"/>
      <c r="P6" s="5"/>
      <c r="Q6" s="5"/>
      <c r="R6" s="196"/>
      <c r="S6" s="196"/>
      <c r="T6" s="196"/>
      <c r="U6" s="196"/>
      <c r="V6" s="196"/>
      <c r="W6" s="196"/>
    </row>
    <row r="7" spans="1:23" ht="19.5" customHeight="1">
      <c r="A7" s="7" t="s">
        <v>2</v>
      </c>
      <c r="B7" s="8"/>
      <c r="C7" s="9"/>
      <c r="D7" s="6">
        <v>105</v>
      </c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196"/>
      <c r="S7" s="196"/>
      <c r="T7" s="196"/>
      <c r="U7" s="196"/>
      <c r="V7" s="196"/>
      <c r="W7" s="196"/>
    </row>
    <row r="8" spans="1:23" ht="19.5" customHeight="1">
      <c r="A8" s="7" t="s">
        <v>42</v>
      </c>
      <c r="B8" s="8"/>
      <c r="C8" s="9"/>
      <c r="D8" s="6">
        <v>58</v>
      </c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196"/>
      <c r="S8" s="196"/>
      <c r="T8" s="196"/>
      <c r="U8" s="196"/>
      <c r="V8" s="196"/>
      <c r="W8" s="196"/>
    </row>
    <row r="9" spans="1:23" ht="19.5" customHeight="1">
      <c r="A9" s="7" t="s">
        <v>78</v>
      </c>
      <c r="B9" s="8"/>
      <c r="C9" s="9"/>
      <c r="D9" s="6">
        <v>483</v>
      </c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196"/>
      <c r="S9" s="196"/>
      <c r="T9" s="196"/>
      <c r="U9" s="196"/>
      <c r="V9" s="196"/>
      <c r="W9" s="196"/>
    </row>
    <row r="10" spans="1:23" ht="19.5" customHeight="1">
      <c r="A10" s="7" t="s">
        <v>79</v>
      </c>
      <c r="B10" s="8"/>
      <c r="C10" s="9"/>
      <c r="D10" s="6">
        <v>134</v>
      </c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196"/>
      <c r="S10" s="196"/>
      <c r="T10" s="196"/>
      <c r="U10" s="196"/>
      <c r="V10" s="196"/>
      <c r="W10" s="196"/>
    </row>
    <row r="11" spans="1:23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196"/>
      <c r="S11" s="196"/>
      <c r="T11" s="196"/>
      <c r="U11" s="196"/>
      <c r="V11" s="196"/>
      <c r="W11" s="196"/>
    </row>
    <row r="12" spans="1:23" ht="19.5" customHeight="1">
      <c r="A12" s="7" t="s">
        <v>5</v>
      </c>
      <c r="B12" s="8"/>
      <c r="C12" s="9"/>
      <c r="D12" s="6">
        <v>511</v>
      </c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196"/>
      <c r="S12" s="196"/>
      <c r="T12" s="196"/>
      <c r="U12" s="196"/>
      <c r="V12" s="196"/>
      <c r="W12" s="196"/>
    </row>
    <row r="13" spans="1:23" ht="19.5" customHeight="1">
      <c r="A13" s="7" t="s">
        <v>6</v>
      </c>
      <c r="B13" s="8"/>
      <c r="C13" s="9"/>
      <c r="D13" s="6">
        <v>3507</v>
      </c>
      <c r="E13" s="6"/>
      <c r="F13" s="6"/>
      <c r="G13" s="6"/>
      <c r="H13" s="6"/>
      <c r="I13" s="6"/>
      <c r="J13" s="6"/>
      <c r="K13" s="6"/>
      <c r="L13" s="5"/>
      <c r="M13" s="6"/>
      <c r="N13" s="5"/>
      <c r="O13" s="5"/>
      <c r="P13" s="5"/>
      <c r="Q13" s="5"/>
      <c r="R13" s="196"/>
      <c r="S13" s="196"/>
      <c r="T13" s="196"/>
      <c r="U13" s="196"/>
      <c r="V13" s="196"/>
      <c r="W13" s="196"/>
    </row>
    <row r="14" spans="1:23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196"/>
      <c r="S14" s="196"/>
      <c r="T14" s="196"/>
      <c r="U14" s="196"/>
      <c r="V14" s="196"/>
      <c r="W14" s="196"/>
    </row>
    <row r="15" spans="1:23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196"/>
      <c r="S15" s="196"/>
      <c r="T15" s="196"/>
      <c r="U15" s="196"/>
      <c r="V15" s="196"/>
      <c r="W15" s="196"/>
    </row>
    <row r="16" spans="1:23" ht="19.5" customHeight="1">
      <c r="A16" s="150" t="s">
        <v>9</v>
      </c>
      <c r="B16" s="151"/>
      <c r="C16" s="152"/>
      <c r="D16" s="125">
        <f aca="true" t="shared" si="0" ref="D16:K16">SUM(D6:D15)</f>
        <v>5935</v>
      </c>
      <c r="E16" s="125">
        <f t="shared" si="0"/>
        <v>0</v>
      </c>
      <c r="F16" s="125">
        <f t="shared" si="0"/>
        <v>0</v>
      </c>
      <c r="G16" s="125">
        <f t="shared" si="0"/>
        <v>0</v>
      </c>
      <c r="H16" s="125">
        <f t="shared" si="0"/>
        <v>0</v>
      </c>
      <c r="I16" s="125">
        <f t="shared" si="0"/>
        <v>0</v>
      </c>
      <c r="J16" s="125">
        <f t="shared" si="0"/>
        <v>0</v>
      </c>
      <c r="K16" s="125">
        <f t="shared" si="0"/>
        <v>0</v>
      </c>
      <c r="L16" s="154"/>
      <c r="M16" s="125"/>
      <c r="N16" s="154"/>
      <c r="O16" s="154"/>
      <c r="P16" s="154"/>
      <c r="Q16" s="154"/>
      <c r="R16" s="254"/>
      <c r="S16" s="254"/>
      <c r="T16" s="254"/>
      <c r="U16" s="254"/>
      <c r="V16" s="254"/>
      <c r="W16" s="254"/>
    </row>
    <row r="17" spans="1:23" ht="19.5" customHeight="1">
      <c r="A17" s="7" t="s">
        <v>10</v>
      </c>
      <c r="B17" s="8"/>
      <c r="C17" s="9"/>
      <c r="D17" s="6">
        <v>16</v>
      </c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196"/>
      <c r="S17" s="196"/>
      <c r="T17" s="196"/>
      <c r="U17" s="196"/>
      <c r="V17" s="196"/>
      <c r="W17" s="196"/>
    </row>
    <row r="18" spans="1:23" ht="19.5" customHeight="1">
      <c r="A18" s="7" t="s">
        <v>11</v>
      </c>
      <c r="B18" s="8"/>
      <c r="C18" s="9"/>
      <c r="D18" s="6">
        <v>4</v>
      </c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196"/>
      <c r="S18" s="196"/>
      <c r="T18" s="196"/>
      <c r="U18" s="196"/>
      <c r="V18" s="196"/>
      <c r="W18" s="196"/>
    </row>
    <row r="19" spans="1:23" ht="19.5" customHeight="1">
      <c r="A19" s="38" t="s">
        <v>197</v>
      </c>
      <c r="B19" s="8"/>
      <c r="C19" s="9"/>
      <c r="D19" s="6">
        <v>2345</v>
      </c>
      <c r="E19" s="6"/>
      <c r="F19" s="6"/>
      <c r="G19" s="6"/>
      <c r="H19" s="6"/>
      <c r="I19" s="6"/>
      <c r="J19" s="6"/>
      <c r="K19" s="6"/>
      <c r="L19" s="5"/>
      <c r="M19" s="6"/>
      <c r="N19" s="5"/>
      <c r="O19" s="5"/>
      <c r="P19" s="5"/>
      <c r="Q19" s="5"/>
      <c r="R19" s="196"/>
      <c r="S19" s="196"/>
      <c r="T19" s="196"/>
      <c r="U19" s="196"/>
      <c r="V19" s="196"/>
      <c r="W19" s="196"/>
    </row>
    <row r="20" spans="1:23" ht="19.5" customHeight="1">
      <c r="A20" s="7" t="s">
        <v>13</v>
      </c>
      <c r="B20" s="8"/>
      <c r="C20" s="9"/>
      <c r="D20" s="6">
        <v>1570</v>
      </c>
      <c r="E20" s="6"/>
      <c r="F20" s="6"/>
      <c r="G20" s="6"/>
      <c r="H20" s="6"/>
      <c r="I20" s="6"/>
      <c r="J20" s="6"/>
      <c r="K20" s="6"/>
      <c r="L20" s="5"/>
      <c r="M20" s="6"/>
      <c r="N20" s="5"/>
      <c r="O20" s="5"/>
      <c r="P20" s="5"/>
      <c r="Q20" s="5"/>
      <c r="R20" s="196"/>
      <c r="S20" s="196"/>
      <c r="T20" s="196"/>
      <c r="U20" s="196"/>
      <c r="V20" s="196"/>
      <c r="W20" s="196"/>
    </row>
    <row r="21" spans="1:23" ht="19.5" customHeight="1">
      <c r="A21" s="7" t="s">
        <v>14</v>
      </c>
      <c r="B21" s="8"/>
      <c r="C21" s="9"/>
      <c r="D21" s="6">
        <v>63</v>
      </c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196"/>
      <c r="S21" s="196"/>
      <c r="T21" s="196"/>
      <c r="U21" s="196"/>
      <c r="V21" s="196"/>
      <c r="W21" s="196"/>
    </row>
    <row r="22" spans="1:23" ht="19.5" customHeight="1">
      <c r="A22" s="191" t="s">
        <v>198</v>
      </c>
      <c r="B22" s="8"/>
      <c r="C22" s="9"/>
      <c r="D22" s="6">
        <v>30</v>
      </c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196"/>
      <c r="S22" s="196"/>
      <c r="T22" s="196"/>
      <c r="U22" s="196"/>
      <c r="V22" s="196"/>
      <c r="W22" s="196"/>
    </row>
    <row r="23" spans="1:23" ht="19.5" customHeight="1">
      <c r="A23" s="193" t="s">
        <v>199</v>
      </c>
      <c r="B23" s="8"/>
      <c r="C23" s="9"/>
      <c r="D23" s="6">
        <v>763</v>
      </c>
      <c r="E23" s="6"/>
      <c r="F23" s="6"/>
      <c r="G23" s="6"/>
      <c r="H23" s="6"/>
      <c r="I23" s="6"/>
      <c r="J23" s="6"/>
      <c r="K23" s="6"/>
      <c r="L23" s="5"/>
      <c r="M23" s="6"/>
      <c r="N23" s="5"/>
      <c r="O23" s="5"/>
      <c r="P23" s="5"/>
      <c r="Q23" s="5"/>
      <c r="R23" s="196"/>
      <c r="S23" s="196"/>
      <c r="T23" s="196"/>
      <c r="U23" s="196"/>
      <c r="V23" s="196"/>
      <c r="W23" s="196"/>
    </row>
    <row r="24" spans="1:23" ht="19.5" customHeight="1">
      <c r="A24" s="7" t="s">
        <v>17</v>
      </c>
      <c r="B24" s="8"/>
      <c r="C24" s="9"/>
      <c r="D24" s="6">
        <v>16794</v>
      </c>
      <c r="E24" s="6"/>
      <c r="F24" s="6"/>
      <c r="G24" s="6"/>
      <c r="H24" s="6"/>
      <c r="I24" s="6"/>
      <c r="J24" s="6"/>
      <c r="K24" s="6"/>
      <c r="L24" s="5"/>
      <c r="M24" s="6"/>
      <c r="N24" s="5"/>
      <c r="O24" s="5"/>
      <c r="P24" s="5"/>
      <c r="Q24" s="5"/>
      <c r="R24" s="196"/>
      <c r="S24" s="196">
        <v>1090</v>
      </c>
      <c r="T24" s="196">
        <v>1317</v>
      </c>
      <c r="U24" s="196">
        <v>916</v>
      </c>
      <c r="V24" s="196">
        <v>773</v>
      </c>
      <c r="W24" s="196">
        <v>988</v>
      </c>
    </row>
    <row r="25" spans="1:23" ht="19.5" customHeight="1">
      <c r="A25" s="7" t="s">
        <v>47</v>
      </c>
      <c r="B25" s="8"/>
      <c r="C25" s="9"/>
      <c r="D25" s="6">
        <v>99</v>
      </c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196"/>
      <c r="S25" s="196"/>
      <c r="T25" s="196"/>
      <c r="U25" s="196"/>
      <c r="V25" s="196"/>
      <c r="W25" s="196"/>
    </row>
    <row r="26" spans="1:23" ht="19.5" customHeight="1">
      <c r="A26" s="7" t="s">
        <v>18</v>
      </c>
      <c r="B26" s="8"/>
      <c r="C26" s="9"/>
      <c r="D26" s="6">
        <v>3648</v>
      </c>
      <c r="E26" s="6"/>
      <c r="F26" s="6"/>
      <c r="G26" s="6"/>
      <c r="H26" s="6"/>
      <c r="I26" s="6"/>
      <c r="J26" s="6"/>
      <c r="K26" s="6"/>
      <c r="L26" s="5"/>
      <c r="M26" s="6"/>
      <c r="N26" s="5"/>
      <c r="O26" s="5"/>
      <c r="P26" s="5"/>
      <c r="Q26" s="5"/>
      <c r="R26" s="196"/>
      <c r="S26" s="196"/>
      <c r="T26" s="196"/>
      <c r="U26" s="196"/>
      <c r="V26" s="196"/>
      <c r="W26" s="196"/>
    </row>
    <row r="27" spans="1:23" ht="19.5" customHeight="1">
      <c r="A27" s="7" t="s">
        <v>19</v>
      </c>
      <c r="B27" s="8"/>
      <c r="C27" s="9"/>
      <c r="D27" s="6">
        <v>158</v>
      </c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196"/>
      <c r="S27" s="196"/>
      <c r="T27" s="196"/>
      <c r="U27" s="196"/>
      <c r="V27" s="196"/>
      <c r="W27" s="196"/>
    </row>
    <row r="28" spans="1:23" ht="19.5" customHeight="1">
      <c r="A28" s="150" t="s">
        <v>20</v>
      </c>
      <c r="B28" s="151"/>
      <c r="C28" s="152"/>
      <c r="D28" s="125">
        <f aca="true" t="shared" si="1" ref="D28:I28">SUM(D17:D27)</f>
        <v>25490</v>
      </c>
      <c r="E28" s="125">
        <f t="shared" si="1"/>
        <v>0</v>
      </c>
      <c r="F28" s="125">
        <f t="shared" si="1"/>
        <v>0</v>
      </c>
      <c r="G28" s="125">
        <f t="shared" si="1"/>
        <v>0</v>
      </c>
      <c r="H28" s="125">
        <f t="shared" si="1"/>
        <v>0</v>
      </c>
      <c r="I28" s="125">
        <f t="shared" si="1"/>
        <v>0</v>
      </c>
      <c r="J28" s="125"/>
      <c r="K28" s="125"/>
      <c r="L28" s="125">
        <f aca="true" t="shared" si="2" ref="L28:R28">SUM(L17:L27)</f>
        <v>0</v>
      </c>
      <c r="M28" s="125"/>
      <c r="N28" s="125"/>
      <c r="O28" s="125"/>
      <c r="P28" s="125">
        <f t="shared" si="2"/>
        <v>0</v>
      </c>
      <c r="Q28" s="125">
        <f t="shared" si="2"/>
        <v>0</v>
      </c>
      <c r="R28" s="125">
        <f t="shared" si="2"/>
        <v>0</v>
      </c>
      <c r="S28" s="125">
        <f>SUM(S17:S27)</f>
        <v>1090</v>
      </c>
      <c r="T28" s="125">
        <f>SUM(T17:T27)</f>
        <v>1317</v>
      </c>
      <c r="U28" s="125"/>
      <c r="V28" s="125"/>
      <c r="W28" s="125"/>
    </row>
    <row r="29" spans="1:23" ht="19.5" customHeight="1">
      <c r="A29" s="7" t="s">
        <v>21</v>
      </c>
      <c r="B29" s="8"/>
      <c r="C29" s="9"/>
      <c r="D29" s="6">
        <v>3</v>
      </c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196"/>
      <c r="S29" s="196">
        <v>4610</v>
      </c>
      <c r="T29" s="196">
        <v>4668</v>
      </c>
      <c r="U29" s="196">
        <v>4815</v>
      </c>
      <c r="V29" s="196">
        <v>4430</v>
      </c>
      <c r="W29" s="196">
        <v>5656</v>
      </c>
    </row>
    <row r="30" spans="1:23" ht="19.5" customHeight="1">
      <c r="A30" s="10" t="s">
        <v>22</v>
      </c>
      <c r="B30" s="11"/>
      <c r="C30" s="12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196"/>
      <c r="S30" s="196"/>
      <c r="T30" s="196"/>
      <c r="U30" s="196"/>
      <c r="V30" s="196"/>
      <c r="W30" s="196"/>
    </row>
    <row r="31" spans="1:23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196"/>
      <c r="S31" s="196"/>
      <c r="T31" s="196"/>
      <c r="U31" s="196"/>
      <c r="V31" s="196"/>
      <c r="W31" s="196"/>
    </row>
    <row r="32" spans="1:23" ht="19.5" customHeight="1">
      <c r="A32" s="10" t="s">
        <v>24</v>
      </c>
      <c r="B32" s="8"/>
      <c r="C32" s="9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196"/>
      <c r="S32" s="196"/>
      <c r="T32" s="196"/>
      <c r="U32" s="196"/>
      <c r="V32" s="196"/>
      <c r="W32" s="196"/>
    </row>
    <row r="33" spans="1:23" ht="19.5" customHeight="1">
      <c r="A33" s="7" t="s">
        <v>25</v>
      </c>
      <c r="B33" s="8"/>
      <c r="C33" s="9"/>
      <c r="D33" s="6">
        <v>49</v>
      </c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196"/>
      <c r="S33" s="196"/>
      <c r="T33" s="196"/>
      <c r="U33" s="196"/>
      <c r="V33" s="196"/>
      <c r="W33" s="196"/>
    </row>
    <row r="34" spans="1:23" ht="19.5" customHeight="1">
      <c r="A34" s="7" t="s">
        <v>26</v>
      </c>
      <c r="B34" s="8"/>
      <c r="C34" s="9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196"/>
      <c r="S34" s="196"/>
      <c r="T34" s="196"/>
      <c r="U34" s="196"/>
      <c r="V34" s="196"/>
      <c r="W34" s="196"/>
    </row>
    <row r="35" spans="1:23" ht="19.5" customHeight="1">
      <c r="A35" s="7" t="s">
        <v>27</v>
      </c>
      <c r="B35" s="8"/>
      <c r="C35" s="9"/>
      <c r="D35" s="6">
        <v>23</v>
      </c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196"/>
      <c r="S35" s="196"/>
      <c r="T35" s="196"/>
      <c r="U35" s="196"/>
      <c r="V35" s="196"/>
      <c r="W35" s="196"/>
    </row>
    <row r="36" spans="1:23" ht="19.5" customHeight="1">
      <c r="A36" s="7" t="s">
        <v>28</v>
      </c>
      <c r="B36" s="8"/>
      <c r="C36" s="9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196"/>
      <c r="S36" s="196"/>
      <c r="T36" s="196"/>
      <c r="U36" s="196"/>
      <c r="V36" s="196"/>
      <c r="W36" s="196"/>
    </row>
    <row r="37" spans="1:23" ht="19.5" customHeight="1">
      <c r="A37" s="150" t="s">
        <v>29</v>
      </c>
      <c r="B37" s="151"/>
      <c r="C37" s="152"/>
      <c r="D37" s="153">
        <v>75</v>
      </c>
      <c r="E37" s="153"/>
      <c r="F37" s="125">
        <f aca="true" t="shared" si="3" ref="F37:L37">F33+F35</f>
        <v>0</v>
      </c>
      <c r="G37" s="125">
        <f t="shared" si="3"/>
        <v>0</v>
      </c>
      <c r="H37" s="125">
        <f t="shared" si="3"/>
        <v>0</v>
      </c>
      <c r="I37" s="125">
        <f t="shared" si="3"/>
        <v>0</v>
      </c>
      <c r="J37" s="125">
        <f t="shared" si="3"/>
        <v>0</v>
      </c>
      <c r="K37" s="125">
        <f t="shared" si="3"/>
        <v>0</v>
      </c>
      <c r="L37" s="125">
        <f t="shared" si="3"/>
        <v>0</v>
      </c>
      <c r="M37" s="154"/>
      <c r="N37" s="154"/>
      <c r="O37" s="154"/>
      <c r="P37" s="154"/>
      <c r="Q37" s="154"/>
      <c r="R37" s="254"/>
      <c r="S37" s="254"/>
      <c r="T37" s="254"/>
      <c r="U37" s="254"/>
      <c r="V37" s="254"/>
      <c r="W37" s="254"/>
    </row>
    <row r="38" spans="1:23" ht="19.5" customHeight="1">
      <c r="A38" s="7" t="s">
        <v>30</v>
      </c>
      <c r="B38" s="8"/>
      <c r="C38" s="9"/>
      <c r="D38" s="5">
        <v>3468</v>
      </c>
      <c r="E38" s="5"/>
      <c r="F38" s="5"/>
      <c r="G38" s="5"/>
      <c r="H38" s="5"/>
      <c r="I38" s="5"/>
      <c r="J38" s="88"/>
      <c r="K38" s="88"/>
      <c r="L38" s="5"/>
      <c r="M38" s="88"/>
      <c r="N38" s="5"/>
      <c r="O38" s="5"/>
      <c r="P38" s="5"/>
      <c r="Q38" s="5"/>
      <c r="R38" s="196"/>
      <c r="S38" s="196"/>
      <c r="T38" s="196"/>
      <c r="U38" s="196"/>
      <c r="V38" s="196"/>
      <c r="W38" s="196"/>
    </row>
    <row r="39" spans="1:23" ht="19.5" customHeight="1">
      <c r="A39" s="7" t="s">
        <v>31</v>
      </c>
      <c r="B39" s="8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96"/>
      <c r="S39" s="196"/>
      <c r="T39" s="196"/>
      <c r="U39" s="196"/>
      <c r="V39" s="196"/>
      <c r="W39" s="196"/>
    </row>
    <row r="40" spans="1:23" ht="19.5" customHeight="1">
      <c r="A40" s="7" t="s">
        <v>32</v>
      </c>
      <c r="B40" s="8"/>
      <c r="C40" s="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96"/>
      <c r="S40" s="196"/>
      <c r="T40" s="196"/>
      <c r="U40" s="196"/>
      <c r="V40" s="196"/>
      <c r="W40" s="196"/>
    </row>
    <row r="41" spans="1:23" ht="19.5" customHeight="1">
      <c r="A41" s="7" t="s">
        <v>33</v>
      </c>
      <c r="B41" s="8"/>
      <c r="C41" s="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96"/>
      <c r="S41" s="196"/>
      <c r="T41" s="196"/>
      <c r="U41" s="196"/>
      <c r="V41" s="196"/>
      <c r="W41" s="196"/>
    </row>
    <row r="42" spans="1:23" ht="19.5" customHeight="1">
      <c r="A42" s="7" t="s">
        <v>34</v>
      </c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96"/>
      <c r="S42" s="196"/>
      <c r="T42" s="196"/>
      <c r="U42" s="196"/>
      <c r="V42" s="196"/>
      <c r="W42" s="196"/>
    </row>
    <row r="43" spans="1:23" ht="19.5" customHeight="1">
      <c r="A43" s="7" t="s">
        <v>35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96"/>
      <c r="S43" s="196"/>
      <c r="T43" s="196"/>
      <c r="U43" s="196"/>
      <c r="V43" s="196"/>
      <c r="W43" s="196"/>
    </row>
    <row r="44" spans="1:23" ht="19.5" customHeight="1">
      <c r="A44" s="7" t="s">
        <v>36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96"/>
      <c r="S44" s="196"/>
      <c r="T44" s="196"/>
      <c r="U44" s="196"/>
      <c r="V44" s="196"/>
      <c r="W44" s="196"/>
    </row>
    <row r="45" spans="1:23" ht="19.5" customHeight="1">
      <c r="A45" s="7" t="s">
        <v>37</v>
      </c>
      <c r="B45" s="8"/>
      <c r="C45" s="9"/>
      <c r="D45" s="5"/>
      <c r="E45" s="5"/>
      <c r="F45" s="5"/>
      <c r="G45" s="5"/>
      <c r="H45" s="5"/>
      <c r="I45" s="6"/>
      <c r="J45" s="6"/>
      <c r="K45" s="5"/>
      <c r="L45" s="5"/>
      <c r="M45" s="5"/>
      <c r="N45" s="5"/>
      <c r="O45" s="5"/>
      <c r="P45" s="5"/>
      <c r="Q45" s="5"/>
      <c r="R45" s="196"/>
      <c r="S45" s="196"/>
      <c r="T45" s="196"/>
      <c r="U45" s="196"/>
      <c r="V45" s="196"/>
      <c r="W45" s="196"/>
    </row>
    <row r="46" spans="1:23" ht="19.5" customHeight="1">
      <c r="A46" s="150" t="s">
        <v>38</v>
      </c>
      <c r="B46" s="151"/>
      <c r="C46" s="152"/>
      <c r="D46" s="153">
        <v>34968</v>
      </c>
      <c r="E46" s="153"/>
      <c r="F46" s="153"/>
      <c r="G46" s="153"/>
      <c r="H46" s="153"/>
      <c r="I46" s="125">
        <f>I37+I28+I16</f>
        <v>0</v>
      </c>
      <c r="J46" s="125">
        <f>J37+J28+J16</f>
        <v>0</v>
      </c>
      <c r="K46" s="125">
        <f>K37+K28+K16</f>
        <v>0</v>
      </c>
      <c r="L46" s="125">
        <f>L37+L28+L16</f>
        <v>0</v>
      </c>
      <c r="M46" s="125">
        <f>M37+M28+M16</f>
        <v>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</row>
    <row r="47" spans="6:7" ht="12.75">
      <c r="F47" t="s">
        <v>39</v>
      </c>
      <c r="G47" t="s">
        <v>39</v>
      </c>
    </row>
  </sheetData>
  <sheetProtection/>
  <mergeCells count="1"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7"/>
  <sheetViews>
    <sheetView zoomScale="95" zoomScaleNormal="95" zoomScalePageLayoutView="0" workbookViewId="0" topLeftCell="A4">
      <pane xSplit="3" ySplit="2" topLeftCell="D20" activePane="bottomRight" state="frozen"/>
      <selection pane="topLeft" activeCell="A11" sqref="A11:M11"/>
      <selection pane="topRight" activeCell="A11" sqref="A11:M11"/>
      <selection pane="bottomLeft" activeCell="A11" sqref="A11:M11"/>
      <selection pane="bottomRight" activeCell="Y26" sqref="Y26"/>
    </sheetView>
  </sheetViews>
  <sheetFormatPr defaultColWidth="11.421875" defaultRowHeight="12.75"/>
  <cols>
    <col min="2" max="2" width="14.421875" style="0" customWidth="1"/>
    <col min="3" max="3" width="6.28125" style="0" customWidth="1"/>
    <col min="4" max="4" width="1.7109375" style="0" customWidth="1"/>
    <col min="5" max="8" width="11.421875" style="0" hidden="1" customWidth="1"/>
    <col min="9" max="9" width="11.57421875" style="0" hidden="1" customWidth="1"/>
    <col min="10" max="10" width="10.421875" style="0" hidden="1" customWidth="1"/>
    <col min="11" max="17" width="11.421875" style="0" hidden="1" customWidth="1"/>
    <col min="18" max="18" width="11.421875" style="240" hidden="1" customWidth="1"/>
    <col min="19" max="23" width="11.421875" style="240" customWidth="1"/>
  </cols>
  <sheetData>
    <row r="1" spans="1:9" ht="16.5" customHeight="1">
      <c r="A1" s="107" t="s">
        <v>84</v>
      </c>
      <c r="B1" s="108"/>
      <c r="C1" s="108"/>
      <c r="D1" s="108"/>
      <c r="E1" s="1"/>
      <c r="F1" s="1"/>
      <c r="G1" s="1"/>
      <c r="H1" s="1"/>
      <c r="I1" s="1"/>
    </row>
    <row r="2" spans="1:9" ht="16.5" customHeight="1">
      <c r="A2" s="372" t="s">
        <v>41</v>
      </c>
      <c r="B2" s="372"/>
      <c r="C2" s="372"/>
      <c r="D2" s="372"/>
      <c r="E2" s="372"/>
      <c r="F2" s="372"/>
      <c r="G2" s="372"/>
      <c r="H2" s="372"/>
      <c r="I2" s="372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3" s="24" customFormat="1" ht="19.5" customHeight="1">
      <c r="A5" s="143" t="s">
        <v>0</v>
      </c>
      <c r="B5" s="144"/>
      <c r="C5" s="145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12">
        <v>2002</v>
      </c>
      <c r="J5" s="112">
        <v>2003</v>
      </c>
      <c r="K5" s="148">
        <v>2004</v>
      </c>
      <c r="L5" s="112">
        <v>2005</v>
      </c>
      <c r="M5" s="148">
        <v>2006</v>
      </c>
      <c r="N5" s="112">
        <v>2007</v>
      </c>
      <c r="O5" s="148">
        <v>2008</v>
      </c>
      <c r="P5" s="112">
        <v>2009</v>
      </c>
      <c r="Q5" s="112">
        <v>2010</v>
      </c>
      <c r="R5" s="112">
        <v>2011</v>
      </c>
      <c r="S5" s="112">
        <v>2012</v>
      </c>
      <c r="T5" s="112">
        <v>2013</v>
      </c>
      <c r="U5" s="112">
        <v>2014</v>
      </c>
      <c r="V5" s="112">
        <v>2015</v>
      </c>
      <c r="W5" s="112">
        <v>2016</v>
      </c>
    </row>
    <row r="6" spans="1:23" ht="19.5" customHeight="1">
      <c r="A6" s="7" t="s">
        <v>1</v>
      </c>
      <c r="B6" s="8"/>
      <c r="C6" s="9"/>
      <c r="D6" s="6">
        <v>1137</v>
      </c>
      <c r="E6" s="6"/>
      <c r="F6" s="6"/>
      <c r="G6" s="6"/>
      <c r="H6" s="6"/>
      <c r="I6" s="6"/>
      <c r="J6" s="6"/>
      <c r="K6" s="6"/>
      <c r="L6" s="5"/>
      <c r="M6" s="6"/>
      <c r="N6" s="5"/>
      <c r="O6" s="5"/>
      <c r="P6" s="5"/>
      <c r="Q6" s="5"/>
      <c r="R6" s="196"/>
      <c r="S6" s="196"/>
      <c r="T6" s="196"/>
      <c r="U6" s="196"/>
      <c r="V6" s="196"/>
      <c r="W6" s="196"/>
    </row>
    <row r="7" spans="1:23" ht="19.5" customHeight="1">
      <c r="A7" s="7" t="s">
        <v>2</v>
      </c>
      <c r="B7" s="8"/>
      <c r="C7" s="9"/>
      <c r="D7" s="6">
        <v>105</v>
      </c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196"/>
      <c r="S7" s="196"/>
      <c r="T7" s="196"/>
      <c r="U7" s="196"/>
      <c r="V7" s="196"/>
      <c r="W7" s="196"/>
    </row>
    <row r="8" spans="1:23" ht="19.5" customHeight="1">
      <c r="A8" s="7" t="s">
        <v>42</v>
      </c>
      <c r="B8" s="8"/>
      <c r="C8" s="9"/>
      <c r="D8" s="6">
        <v>58</v>
      </c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196"/>
      <c r="S8" s="196"/>
      <c r="T8" s="196"/>
      <c r="U8" s="196"/>
      <c r="V8" s="196"/>
      <c r="W8" s="196"/>
    </row>
    <row r="9" spans="1:23" ht="19.5" customHeight="1">
      <c r="A9" s="7" t="s">
        <v>78</v>
      </c>
      <c r="B9" s="8"/>
      <c r="C9" s="9"/>
      <c r="D9" s="6">
        <v>483</v>
      </c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196"/>
      <c r="S9" s="196"/>
      <c r="T9" s="196"/>
      <c r="U9" s="196"/>
      <c r="V9" s="196"/>
      <c r="W9" s="196"/>
    </row>
    <row r="10" spans="1:23" ht="19.5" customHeight="1">
      <c r="A10" s="7" t="s">
        <v>79</v>
      </c>
      <c r="B10" s="8"/>
      <c r="C10" s="9"/>
      <c r="D10" s="6">
        <v>134</v>
      </c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196"/>
      <c r="S10" s="196"/>
      <c r="T10" s="196"/>
      <c r="U10" s="196"/>
      <c r="V10" s="196"/>
      <c r="W10" s="196"/>
    </row>
    <row r="11" spans="1:23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196"/>
      <c r="S11" s="196"/>
      <c r="T11" s="196"/>
      <c r="U11" s="196"/>
      <c r="V11" s="196"/>
      <c r="W11" s="196"/>
    </row>
    <row r="12" spans="1:23" ht="19.5" customHeight="1">
      <c r="A12" s="7" t="s">
        <v>5</v>
      </c>
      <c r="B12" s="8"/>
      <c r="C12" s="9"/>
      <c r="D12" s="6">
        <v>511</v>
      </c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196"/>
      <c r="S12" s="196"/>
      <c r="T12" s="196"/>
      <c r="U12" s="196"/>
      <c r="V12" s="196"/>
      <c r="W12" s="196"/>
    </row>
    <row r="13" spans="1:23" ht="19.5" customHeight="1">
      <c r="A13" s="7" t="s">
        <v>6</v>
      </c>
      <c r="B13" s="8"/>
      <c r="C13" s="9"/>
      <c r="D13" s="6">
        <v>3507</v>
      </c>
      <c r="E13" s="6"/>
      <c r="F13" s="6"/>
      <c r="G13" s="6"/>
      <c r="H13" s="6"/>
      <c r="I13" s="6"/>
      <c r="J13" s="6"/>
      <c r="K13" s="6"/>
      <c r="L13" s="5"/>
      <c r="M13" s="6"/>
      <c r="N13" s="5"/>
      <c r="O13" s="5"/>
      <c r="P13" s="5"/>
      <c r="Q13" s="5"/>
      <c r="R13" s="196"/>
      <c r="S13" s="196"/>
      <c r="T13" s="196"/>
      <c r="U13" s="196"/>
      <c r="V13" s="196"/>
      <c r="W13" s="196"/>
    </row>
    <row r="14" spans="1:23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196"/>
      <c r="S14" s="196"/>
      <c r="T14" s="196"/>
      <c r="U14" s="196"/>
      <c r="V14" s="196"/>
      <c r="W14" s="196"/>
    </row>
    <row r="15" spans="1:23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196"/>
      <c r="S15" s="196"/>
      <c r="T15" s="196"/>
      <c r="U15" s="196"/>
      <c r="V15" s="196"/>
      <c r="W15" s="196"/>
    </row>
    <row r="16" spans="1:23" ht="19.5" customHeight="1">
      <c r="A16" s="150" t="s">
        <v>9</v>
      </c>
      <c r="B16" s="151"/>
      <c r="C16" s="152"/>
      <c r="D16" s="125">
        <f aca="true" t="shared" si="0" ref="D16:K16">SUM(D6:D15)</f>
        <v>5935</v>
      </c>
      <c r="E16" s="125">
        <f t="shared" si="0"/>
        <v>0</v>
      </c>
      <c r="F16" s="125">
        <f t="shared" si="0"/>
        <v>0</v>
      </c>
      <c r="G16" s="125">
        <f t="shared" si="0"/>
        <v>0</v>
      </c>
      <c r="H16" s="125">
        <f t="shared" si="0"/>
        <v>0</v>
      </c>
      <c r="I16" s="125">
        <f t="shared" si="0"/>
        <v>0</v>
      </c>
      <c r="J16" s="125">
        <f t="shared" si="0"/>
        <v>0</v>
      </c>
      <c r="K16" s="125">
        <f t="shared" si="0"/>
        <v>0</v>
      </c>
      <c r="L16" s="154"/>
      <c r="M16" s="125"/>
      <c r="N16" s="154"/>
      <c r="O16" s="154"/>
      <c r="P16" s="154"/>
      <c r="Q16" s="154"/>
      <c r="R16" s="254"/>
      <c r="S16" s="254"/>
      <c r="T16" s="254"/>
      <c r="U16" s="254"/>
      <c r="V16" s="254"/>
      <c r="W16" s="254"/>
    </row>
    <row r="17" spans="1:23" ht="19.5" customHeight="1">
      <c r="A17" s="7" t="s">
        <v>10</v>
      </c>
      <c r="B17" s="8"/>
      <c r="C17" s="9"/>
      <c r="D17" s="6">
        <v>16</v>
      </c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196"/>
      <c r="S17" s="196"/>
      <c r="T17" s="196"/>
      <c r="U17" s="196"/>
      <c r="V17" s="196"/>
      <c r="W17" s="196"/>
    </row>
    <row r="18" spans="1:23" ht="19.5" customHeight="1">
      <c r="A18" s="7" t="s">
        <v>11</v>
      </c>
      <c r="B18" s="8"/>
      <c r="C18" s="9"/>
      <c r="D18" s="6">
        <v>4</v>
      </c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196"/>
      <c r="S18" s="196"/>
      <c r="T18" s="196"/>
      <c r="U18" s="196"/>
      <c r="V18" s="196"/>
      <c r="W18" s="196"/>
    </row>
    <row r="19" spans="1:23" ht="19.5" customHeight="1">
      <c r="A19" s="38" t="s">
        <v>197</v>
      </c>
      <c r="B19" s="8"/>
      <c r="C19" s="9"/>
      <c r="D19" s="6">
        <v>2345</v>
      </c>
      <c r="E19" s="6"/>
      <c r="F19" s="6"/>
      <c r="G19" s="6"/>
      <c r="H19" s="6"/>
      <c r="I19" s="6"/>
      <c r="J19" s="6"/>
      <c r="K19" s="6"/>
      <c r="L19" s="5"/>
      <c r="M19" s="6"/>
      <c r="N19" s="5"/>
      <c r="O19" s="5"/>
      <c r="P19" s="5"/>
      <c r="Q19" s="5"/>
      <c r="R19" s="196"/>
      <c r="S19" s="196"/>
      <c r="T19" s="196"/>
      <c r="U19" s="196"/>
      <c r="V19" s="196"/>
      <c r="W19" s="196"/>
    </row>
    <row r="20" spans="1:23" ht="19.5" customHeight="1">
      <c r="A20" s="7" t="s">
        <v>13</v>
      </c>
      <c r="B20" s="8"/>
      <c r="C20" s="9"/>
      <c r="D20" s="6">
        <v>1570</v>
      </c>
      <c r="E20" s="6"/>
      <c r="F20" s="6"/>
      <c r="G20" s="6"/>
      <c r="H20" s="6"/>
      <c r="I20" s="6"/>
      <c r="J20" s="6"/>
      <c r="K20" s="6"/>
      <c r="L20" s="5"/>
      <c r="M20" s="6"/>
      <c r="N20" s="5"/>
      <c r="O20" s="5"/>
      <c r="P20" s="5"/>
      <c r="Q20" s="5"/>
      <c r="R20" s="196"/>
      <c r="S20" s="196"/>
      <c r="T20" s="196"/>
      <c r="U20" s="196"/>
      <c r="V20" s="196"/>
      <c r="W20" s="196"/>
    </row>
    <row r="21" spans="1:23" ht="19.5" customHeight="1">
      <c r="A21" s="7" t="s">
        <v>14</v>
      </c>
      <c r="B21" s="8"/>
      <c r="C21" s="9"/>
      <c r="D21" s="6">
        <v>63</v>
      </c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196"/>
      <c r="S21" s="196"/>
      <c r="T21" s="196"/>
      <c r="U21" s="196"/>
      <c r="V21" s="196"/>
      <c r="W21" s="196"/>
    </row>
    <row r="22" spans="1:23" ht="19.5" customHeight="1">
      <c r="A22" s="191" t="s">
        <v>198</v>
      </c>
      <c r="B22" s="8"/>
      <c r="C22" s="9"/>
      <c r="D22" s="6">
        <v>30</v>
      </c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196"/>
      <c r="S22" s="196"/>
      <c r="T22" s="196"/>
      <c r="U22" s="196"/>
      <c r="V22" s="196"/>
      <c r="W22" s="196"/>
    </row>
    <row r="23" spans="1:23" ht="19.5" customHeight="1">
      <c r="A23" s="193" t="s">
        <v>199</v>
      </c>
      <c r="B23" s="8"/>
      <c r="C23" s="9"/>
      <c r="D23" s="6">
        <v>763</v>
      </c>
      <c r="E23" s="6"/>
      <c r="F23" s="6"/>
      <c r="G23" s="6"/>
      <c r="H23" s="6"/>
      <c r="I23" s="6"/>
      <c r="J23" s="6"/>
      <c r="K23" s="6"/>
      <c r="L23" s="5"/>
      <c r="M23" s="6"/>
      <c r="N23" s="5"/>
      <c r="O23" s="5"/>
      <c r="P23" s="5"/>
      <c r="Q23" s="5"/>
      <c r="R23" s="196"/>
      <c r="S23" s="196"/>
      <c r="T23" s="196"/>
      <c r="U23" s="196"/>
      <c r="V23" s="196"/>
      <c r="W23" s="196"/>
    </row>
    <row r="24" spans="1:23" ht="19.5" customHeight="1">
      <c r="A24" s="7" t="s">
        <v>17</v>
      </c>
      <c r="B24" s="8"/>
      <c r="C24" s="9"/>
      <c r="D24" s="6">
        <v>16794</v>
      </c>
      <c r="E24" s="6"/>
      <c r="F24" s="6"/>
      <c r="G24" s="6"/>
      <c r="H24" s="6"/>
      <c r="I24" s="6"/>
      <c r="J24" s="6"/>
      <c r="K24" s="6"/>
      <c r="L24" s="5"/>
      <c r="M24" s="6"/>
      <c r="N24" s="5"/>
      <c r="O24" s="5"/>
      <c r="P24" s="5"/>
      <c r="Q24" s="5"/>
      <c r="R24" s="196"/>
      <c r="S24" s="196">
        <v>4406</v>
      </c>
      <c r="T24" s="196">
        <v>4891</v>
      </c>
      <c r="U24" s="196">
        <v>6257</v>
      </c>
      <c r="V24" s="196">
        <v>6862</v>
      </c>
      <c r="W24" s="196">
        <v>6852</v>
      </c>
    </row>
    <row r="25" spans="1:23" ht="19.5" customHeight="1">
      <c r="A25" s="7" t="s">
        <v>47</v>
      </c>
      <c r="B25" s="8"/>
      <c r="C25" s="9"/>
      <c r="D25" s="6">
        <v>99</v>
      </c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196"/>
      <c r="S25" s="196"/>
      <c r="T25" s="196"/>
      <c r="U25" s="196"/>
      <c r="V25" s="196"/>
      <c r="W25" s="196"/>
    </row>
    <row r="26" spans="1:23" ht="19.5" customHeight="1">
      <c r="A26" s="7" t="s">
        <v>18</v>
      </c>
      <c r="B26" s="8"/>
      <c r="C26" s="9"/>
      <c r="D26" s="6">
        <v>3648</v>
      </c>
      <c r="E26" s="6"/>
      <c r="F26" s="6"/>
      <c r="G26" s="6"/>
      <c r="H26" s="6"/>
      <c r="I26" s="6"/>
      <c r="J26" s="6"/>
      <c r="K26" s="6"/>
      <c r="L26" s="5"/>
      <c r="M26" s="6"/>
      <c r="N26" s="5"/>
      <c r="O26" s="5"/>
      <c r="P26" s="5"/>
      <c r="Q26" s="5"/>
      <c r="R26" s="196"/>
      <c r="S26" s="196"/>
      <c r="T26" s="196"/>
      <c r="U26" s="196"/>
      <c r="V26" s="196"/>
      <c r="W26" s="196"/>
    </row>
    <row r="27" spans="1:23" ht="19.5" customHeight="1">
      <c r="A27" s="7" t="s">
        <v>19</v>
      </c>
      <c r="B27" s="8"/>
      <c r="C27" s="9"/>
      <c r="D27" s="6">
        <v>158</v>
      </c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196"/>
      <c r="S27" s="196"/>
      <c r="T27" s="196"/>
      <c r="U27" s="196"/>
      <c r="V27" s="196"/>
      <c r="W27" s="196"/>
    </row>
    <row r="28" spans="1:23" ht="19.5" customHeight="1">
      <c r="A28" s="150" t="s">
        <v>20</v>
      </c>
      <c r="B28" s="151"/>
      <c r="C28" s="152"/>
      <c r="D28" s="125">
        <f aca="true" t="shared" si="1" ref="D28:I28">SUM(D17:D27)</f>
        <v>25490</v>
      </c>
      <c r="E28" s="125">
        <f t="shared" si="1"/>
        <v>0</v>
      </c>
      <c r="F28" s="125">
        <f t="shared" si="1"/>
        <v>0</v>
      </c>
      <c r="G28" s="125">
        <f t="shared" si="1"/>
        <v>0</v>
      </c>
      <c r="H28" s="125">
        <f t="shared" si="1"/>
        <v>0</v>
      </c>
      <c r="I28" s="125">
        <f t="shared" si="1"/>
        <v>0</v>
      </c>
      <c r="J28" s="125"/>
      <c r="K28" s="125"/>
      <c r="L28" s="125">
        <f aca="true" t="shared" si="2" ref="L28:R28">SUM(L17:L27)</f>
        <v>0</v>
      </c>
      <c r="M28" s="125"/>
      <c r="N28" s="125"/>
      <c r="O28" s="125"/>
      <c r="P28" s="125">
        <f t="shared" si="2"/>
        <v>0</v>
      </c>
      <c r="Q28" s="125">
        <f t="shared" si="2"/>
        <v>0</v>
      </c>
      <c r="R28" s="125">
        <f t="shared" si="2"/>
        <v>0</v>
      </c>
      <c r="S28" s="125">
        <f>SUM(S17:S27)</f>
        <v>4406</v>
      </c>
      <c r="T28" s="125">
        <f>SUM(T17:T27)</f>
        <v>4891</v>
      </c>
      <c r="U28" s="125"/>
      <c r="V28" s="125"/>
      <c r="W28" s="125"/>
    </row>
    <row r="29" spans="1:23" ht="19.5" customHeight="1">
      <c r="A29" s="7" t="s">
        <v>21</v>
      </c>
      <c r="B29" s="8"/>
      <c r="C29" s="9"/>
      <c r="D29" s="6">
        <v>3</v>
      </c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196"/>
      <c r="S29" s="196">
        <v>924</v>
      </c>
      <c r="T29" s="196">
        <v>1737</v>
      </c>
      <c r="U29" s="196">
        <v>1871</v>
      </c>
      <c r="V29" s="196">
        <v>2743</v>
      </c>
      <c r="W29" s="196">
        <v>3628</v>
      </c>
    </row>
    <row r="30" spans="1:23" ht="19.5" customHeight="1">
      <c r="A30" s="10" t="s">
        <v>22</v>
      </c>
      <c r="B30" s="11"/>
      <c r="C30" s="12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196"/>
      <c r="S30" s="196"/>
      <c r="T30" s="196"/>
      <c r="U30" s="196"/>
      <c r="V30" s="196"/>
      <c r="W30" s="196"/>
    </row>
    <row r="31" spans="1:23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196"/>
      <c r="S31" s="196"/>
      <c r="T31" s="196"/>
      <c r="U31" s="196"/>
      <c r="V31" s="196"/>
      <c r="W31" s="196"/>
    </row>
    <row r="32" spans="1:23" ht="19.5" customHeight="1">
      <c r="A32" s="10" t="s">
        <v>24</v>
      </c>
      <c r="B32" s="8"/>
      <c r="C32" s="9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196"/>
      <c r="S32" s="196"/>
      <c r="T32" s="196"/>
      <c r="U32" s="196"/>
      <c r="V32" s="196"/>
      <c r="W32" s="196"/>
    </row>
    <row r="33" spans="1:23" ht="19.5" customHeight="1">
      <c r="A33" s="7" t="s">
        <v>25</v>
      </c>
      <c r="B33" s="8"/>
      <c r="C33" s="9"/>
      <c r="D33" s="6">
        <v>49</v>
      </c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196"/>
      <c r="S33" s="196"/>
      <c r="T33" s="196"/>
      <c r="U33" s="196"/>
      <c r="V33" s="196"/>
      <c r="W33" s="196"/>
    </row>
    <row r="34" spans="1:23" ht="19.5" customHeight="1">
      <c r="A34" s="7" t="s">
        <v>26</v>
      </c>
      <c r="B34" s="8"/>
      <c r="C34" s="9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196"/>
      <c r="S34" s="196"/>
      <c r="T34" s="196"/>
      <c r="U34" s="196"/>
      <c r="V34" s="196"/>
      <c r="W34" s="196"/>
    </row>
    <row r="35" spans="1:23" ht="19.5" customHeight="1">
      <c r="A35" s="7" t="s">
        <v>27</v>
      </c>
      <c r="B35" s="8"/>
      <c r="C35" s="9"/>
      <c r="D35" s="6">
        <v>23</v>
      </c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196"/>
      <c r="S35" s="196"/>
      <c r="T35" s="196"/>
      <c r="U35" s="196"/>
      <c r="V35" s="196"/>
      <c r="W35" s="196"/>
    </row>
    <row r="36" spans="1:23" ht="19.5" customHeight="1">
      <c r="A36" s="7" t="s">
        <v>28</v>
      </c>
      <c r="B36" s="8"/>
      <c r="C36" s="9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196"/>
      <c r="S36" s="196"/>
      <c r="T36" s="196"/>
      <c r="U36" s="196"/>
      <c r="V36" s="196"/>
      <c r="W36" s="196"/>
    </row>
    <row r="37" spans="1:23" ht="19.5" customHeight="1">
      <c r="A37" s="150" t="s">
        <v>29</v>
      </c>
      <c r="B37" s="151"/>
      <c r="C37" s="152"/>
      <c r="D37" s="153">
        <v>75</v>
      </c>
      <c r="E37" s="153"/>
      <c r="F37" s="125">
        <f aca="true" t="shared" si="3" ref="F37:L37">F33+F35</f>
        <v>0</v>
      </c>
      <c r="G37" s="125">
        <f t="shared" si="3"/>
        <v>0</v>
      </c>
      <c r="H37" s="125">
        <f t="shared" si="3"/>
        <v>0</v>
      </c>
      <c r="I37" s="125">
        <f t="shared" si="3"/>
        <v>0</v>
      </c>
      <c r="J37" s="125">
        <f t="shared" si="3"/>
        <v>0</v>
      </c>
      <c r="K37" s="125">
        <f t="shared" si="3"/>
        <v>0</v>
      </c>
      <c r="L37" s="125">
        <f t="shared" si="3"/>
        <v>0</v>
      </c>
      <c r="M37" s="154"/>
      <c r="N37" s="154"/>
      <c r="O37" s="154"/>
      <c r="P37" s="154"/>
      <c r="Q37" s="154"/>
      <c r="R37" s="254"/>
      <c r="S37" s="254"/>
      <c r="T37" s="254"/>
      <c r="U37" s="254"/>
      <c r="V37" s="254"/>
      <c r="W37" s="254"/>
    </row>
    <row r="38" spans="1:23" ht="19.5" customHeight="1">
      <c r="A38" s="7" t="s">
        <v>30</v>
      </c>
      <c r="B38" s="8"/>
      <c r="C38" s="9"/>
      <c r="D38" s="5">
        <v>3468</v>
      </c>
      <c r="E38" s="5"/>
      <c r="F38" s="5"/>
      <c r="G38" s="5"/>
      <c r="H38" s="5"/>
      <c r="I38" s="5"/>
      <c r="J38" s="88"/>
      <c r="K38" s="88"/>
      <c r="L38" s="5"/>
      <c r="M38" s="88"/>
      <c r="N38" s="5"/>
      <c r="O38" s="5"/>
      <c r="P38" s="5"/>
      <c r="Q38" s="5"/>
      <c r="R38" s="196"/>
      <c r="S38" s="196"/>
      <c r="T38" s="196"/>
      <c r="U38" s="196"/>
      <c r="V38" s="196"/>
      <c r="W38" s="196"/>
    </row>
    <row r="39" spans="1:23" ht="19.5" customHeight="1">
      <c r="A39" s="7" t="s">
        <v>31</v>
      </c>
      <c r="B39" s="8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96"/>
      <c r="S39" s="196"/>
      <c r="T39" s="196"/>
      <c r="U39" s="196"/>
      <c r="V39" s="196"/>
      <c r="W39" s="196"/>
    </row>
    <row r="40" spans="1:23" ht="19.5" customHeight="1">
      <c r="A40" s="7" t="s">
        <v>32</v>
      </c>
      <c r="B40" s="8"/>
      <c r="C40" s="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96"/>
      <c r="S40" s="196"/>
      <c r="T40" s="196"/>
      <c r="U40" s="196"/>
      <c r="V40" s="196"/>
      <c r="W40" s="196"/>
    </row>
    <row r="41" spans="1:23" ht="19.5" customHeight="1">
      <c r="A41" s="7" t="s">
        <v>33</v>
      </c>
      <c r="B41" s="8"/>
      <c r="C41" s="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96"/>
      <c r="S41" s="196"/>
      <c r="T41" s="196"/>
      <c r="U41" s="196"/>
      <c r="V41" s="196"/>
      <c r="W41" s="196"/>
    </row>
    <row r="42" spans="1:23" ht="19.5" customHeight="1">
      <c r="A42" s="7" t="s">
        <v>34</v>
      </c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96"/>
      <c r="S42" s="196"/>
      <c r="T42" s="196"/>
      <c r="U42" s="196"/>
      <c r="V42" s="196"/>
      <c r="W42" s="196"/>
    </row>
    <row r="43" spans="1:23" ht="19.5" customHeight="1">
      <c r="A43" s="7" t="s">
        <v>35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96"/>
      <c r="S43" s="196"/>
      <c r="T43" s="196"/>
      <c r="U43" s="196"/>
      <c r="V43" s="196"/>
      <c r="W43" s="196"/>
    </row>
    <row r="44" spans="1:23" ht="19.5" customHeight="1">
      <c r="A44" s="7" t="s">
        <v>36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96"/>
      <c r="S44" s="196"/>
      <c r="T44" s="196"/>
      <c r="U44" s="196"/>
      <c r="V44" s="196"/>
      <c r="W44" s="196"/>
    </row>
    <row r="45" spans="1:23" ht="19.5" customHeight="1">
      <c r="A45" s="7" t="s">
        <v>37</v>
      </c>
      <c r="B45" s="8"/>
      <c r="C45" s="9"/>
      <c r="D45" s="5"/>
      <c r="E45" s="5"/>
      <c r="F45" s="5"/>
      <c r="G45" s="5"/>
      <c r="H45" s="5"/>
      <c r="I45" s="6"/>
      <c r="J45" s="6"/>
      <c r="K45" s="5"/>
      <c r="L45" s="5"/>
      <c r="M45" s="5"/>
      <c r="N45" s="5"/>
      <c r="O45" s="5"/>
      <c r="P45" s="5"/>
      <c r="Q45" s="5"/>
      <c r="R45" s="196"/>
      <c r="S45" s="196"/>
      <c r="T45" s="196"/>
      <c r="U45" s="196"/>
      <c r="V45" s="196"/>
      <c r="W45" s="196"/>
    </row>
    <row r="46" spans="1:23" ht="19.5" customHeight="1">
      <c r="A46" s="150" t="s">
        <v>38</v>
      </c>
      <c r="B46" s="151"/>
      <c r="C46" s="152"/>
      <c r="D46" s="153">
        <v>34968</v>
      </c>
      <c r="E46" s="153"/>
      <c r="F46" s="153"/>
      <c r="G46" s="153"/>
      <c r="H46" s="153"/>
      <c r="I46" s="125">
        <f>I37+I28+I16</f>
        <v>0</v>
      </c>
      <c r="J46" s="125">
        <f>J37+J28+J16</f>
        <v>0</v>
      </c>
      <c r="K46" s="125">
        <f>K37+K28+K16</f>
        <v>0</v>
      </c>
      <c r="L46" s="125">
        <f>L37+L28+L16</f>
        <v>0</v>
      </c>
      <c r="M46" s="125">
        <f>M37+M28+M16</f>
        <v>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</row>
    <row r="47" spans="6:7" ht="12.75">
      <c r="F47" t="s">
        <v>39</v>
      </c>
      <c r="G47" t="s">
        <v>39</v>
      </c>
    </row>
  </sheetData>
  <sheetProtection/>
  <mergeCells count="1"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Q31" sqref="Q31"/>
    </sheetView>
  </sheetViews>
  <sheetFormatPr defaultColWidth="11.421875" defaultRowHeight="12.75"/>
  <cols>
    <col min="1" max="1" width="19.28125" style="0" customWidth="1"/>
    <col min="2" max="5" width="11.421875" style="0" hidden="1" customWidth="1"/>
    <col min="6" max="6" width="10.28125" style="0" hidden="1" customWidth="1"/>
    <col min="7" max="13" width="11.421875" style="0" hidden="1" customWidth="1"/>
    <col min="14" max="15" width="0" style="0" hidden="1" customWidth="1"/>
    <col min="16" max="16" width="0" style="162" hidden="1" customWidth="1"/>
    <col min="17" max="17" width="11.421875" style="240" customWidth="1"/>
    <col min="18" max="18" width="11.421875" style="223" customWidth="1"/>
    <col min="19" max="19" width="11.421875" style="240" customWidth="1"/>
    <col min="20" max="21" width="11.421875" style="290" customWidth="1"/>
    <col min="22" max="22" width="8.140625" style="290" bestFit="1" customWidth="1"/>
    <col min="23" max="23" width="11.421875" style="351" customWidth="1"/>
  </cols>
  <sheetData>
    <row r="1" spans="1:24" ht="15.75">
      <c r="A1" s="159" t="s">
        <v>110</v>
      </c>
      <c r="B1" s="60">
        <v>1997</v>
      </c>
      <c r="C1" s="60">
        <v>1998</v>
      </c>
      <c r="D1" s="60">
        <v>1999</v>
      </c>
      <c r="E1" s="60">
        <v>2000</v>
      </c>
      <c r="F1" s="60">
        <v>2001</v>
      </c>
      <c r="G1" s="60">
        <v>2002</v>
      </c>
      <c r="H1" s="178">
        <v>2003</v>
      </c>
      <c r="I1" s="178">
        <v>2004</v>
      </c>
      <c r="J1" s="178">
        <v>2005</v>
      </c>
      <c r="K1" s="179">
        <v>2006</v>
      </c>
      <c r="L1" s="178">
        <v>2007</v>
      </c>
      <c r="M1" s="180">
        <v>2008</v>
      </c>
      <c r="N1" s="178">
        <v>2009</v>
      </c>
      <c r="O1" s="178">
        <v>2010</v>
      </c>
      <c r="P1" s="225">
        <v>2011</v>
      </c>
      <c r="Q1" s="178">
        <v>2012</v>
      </c>
      <c r="R1" s="178">
        <v>2013</v>
      </c>
      <c r="S1" s="178">
        <v>2014</v>
      </c>
      <c r="T1" s="178">
        <v>2015</v>
      </c>
      <c r="U1" s="178">
        <v>2016</v>
      </c>
      <c r="V1" s="178">
        <v>2017</v>
      </c>
      <c r="W1" s="350" t="s">
        <v>204</v>
      </c>
      <c r="X1" s="178" t="s">
        <v>205</v>
      </c>
    </row>
    <row r="2" spans="1:24" s="33" customFormat="1" ht="12.75">
      <c r="A2" s="38" t="s">
        <v>119</v>
      </c>
      <c r="B2" s="6">
        <v>4353</v>
      </c>
      <c r="C2" s="6">
        <v>4631</v>
      </c>
      <c r="D2" s="6">
        <v>4720</v>
      </c>
      <c r="E2" s="6">
        <v>4661</v>
      </c>
      <c r="F2" s="6">
        <v>4774</v>
      </c>
      <c r="G2" s="6">
        <v>4562</v>
      </c>
      <c r="H2" s="6">
        <f>Belgique!J12</f>
        <v>4430</v>
      </c>
      <c r="I2" s="6">
        <f>Belgique!K12</f>
        <v>5124</v>
      </c>
      <c r="J2" s="6">
        <f>Belgique!L12</f>
        <v>5218</v>
      </c>
      <c r="K2" s="102">
        <f>Belgique!M11</f>
        <v>5499</v>
      </c>
      <c r="L2" s="276">
        <f>Belgique!N12</f>
        <v>5548</v>
      </c>
      <c r="M2" s="277">
        <f>Belgique!O12</f>
        <v>5364</v>
      </c>
      <c r="N2" s="277">
        <f>Belgique!P12</f>
        <v>5327</v>
      </c>
      <c r="O2" s="278">
        <f>Belgique!Q12</f>
        <v>4473</v>
      </c>
      <c r="P2" s="279">
        <f>Belgique!R12</f>
        <v>4839</v>
      </c>
      <c r="Q2" s="255">
        <f>Belgique!S12</f>
        <v>4734</v>
      </c>
      <c r="R2" s="255">
        <f>Belgique!T12</f>
        <v>4193.7</v>
      </c>
      <c r="S2" s="255">
        <f>Belgique!U12</f>
        <v>4629</v>
      </c>
      <c r="T2" s="255">
        <f>Belgique!V12</f>
        <v>4772</v>
      </c>
      <c r="U2" s="255">
        <f>Belgique!W12</f>
        <v>4970</v>
      </c>
      <c r="V2" s="255">
        <f>Belgique!X12</f>
        <v>5151</v>
      </c>
      <c r="W2" s="255">
        <f>Belgique!Y12</f>
        <v>5150</v>
      </c>
      <c r="X2" s="157">
        <f>V2/U2-1</f>
        <v>0.036418511066398374</v>
      </c>
    </row>
    <row r="3" spans="1:26" ht="12.75">
      <c r="A3" s="38" t="s">
        <v>111</v>
      </c>
      <c r="B3" s="6">
        <v>57002</v>
      </c>
      <c r="C3" s="6">
        <v>61614</v>
      </c>
      <c r="D3" s="6">
        <v>64895</v>
      </c>
      <c r="E3" s="6">
        <v>69853</v>
      </c>
      <c r="F3" s="6">
        <v>66128</v>
      </c>
      <c r="G3" s="6">
        <v>63044</v>
      </c>
      <c r="H3" s="6">
        <f>Allemagne!J14</f>
        <v>68854</v>
      </c>
      <c r="I3" s="20">
        <f>Allemagne!K14</f>
        <v>75339</v>
      </c>
      <c r="J3" s="6">
        <f>Allemagne!L14</f>
        <v>67147</v>
      </c>
      <c r="K3" s="45">
        <f>Allemagne!M14</f>
        <v>64418</v>
      </c>
      <c r="L3" s="280">
        <f>Allemagne!N14</f>
        <v>62010</v>
      </c>
      <c r="M3" s="280">
        <f>Allemagne!O14</f>
        <v>62305</v>
      </c>
      <c r="N3" s="280">
        <f>Allemagne!P14</f>
        <v>57349</v>
      </c>
      <c r="O3" s="281">
        <f>Allemagne!Q14</f>
        <v>53396</v>
      </c>
      <c r="P3" s="282">
        <f>Allemagne!R14</f>
        <v>57339</v>
      </c>
      <c r="Q3" s="255">
        <f>Allemagne!S14</f>
        <v>58468</v>
      </c>
      <c r="R3" s="255">
        <f>Allemagne!T14</f>
        <v>60534</v>
      </c>
      <c r="S3" s="255">
        <f>Allemagne!U14</f>
        <v>56640</v>
      </c>
      <c r="T3" s="255">
        <f>Allemagne!V14</f>
        <v>52128</v>
      </c>
      <c r="U3" s="255">
        <f>Allemagne!W14</f>
        <v>50423</v>
      </c>
      <c r="V3" s="255">
        <f>Allemagne!X14</f>
        <v>51587</v>
      </c>
      <c r="W3" s="255">
        <f>Allemagne!Y14</f>
        <v>0</v>
      </c>
      <c r="X3" s="157">
        <f aca="true" t="shared" si="0" ref="X3:X63">V3/U3-1</f>
        <v>0.02308470340915858</v>
      </c>
      <c r="Z3" t="s">
        <v>39</v>
      </c>
    </row>
    <row r="4" spans="1:24" ht="12.75">
      <c r="A4" s="80" t="s">
        <v>112</v>
      </c>
      <c r="B4" s="83">
        <v>33744</v>
      </c>
      <c r="C4" s="83">
        <v>35619</v>
      </c>
      <c r="D4" s="83">
        <v>32069</v>
      </c>
      <c r="E4" s="83">
        <v>30971</v>
      </c>
      <c r="F4" s="83">
        <v>29865</v>
      </c>
      <c r="G4" s="83">
        <v>24602</v>
      </c>
      <c r="H4" s="83">
        <f>Danemark!J13</f>
        <v>22804</v>
      </c>
      <c r="I4" s="83">
        <f>Danemark!K13</f>
        <v>24801</v>
      </c>
      <c r="J4" s="83">
        <f>Danemark!L13</f>
        <v>21621</v>
      </c>
      <c r="K4" s="80">
        <f>Danemark!M13</f>
        <v>22947</v>
      </c>
      <c r="L4" s="283">
        <f>Danemark!N13</f>
        <v>22454</v>
      </c>
      <c r="M4" s="283">
        <f>Danemark!O13</f>
        <v>23362</v>
      </c>
      <c r="N4" s="283">
        <f>Danemark!P13</f>
        <v>22993</v>
      </c>
      <c r="O4" s="283">
        <f>Danemark!Q13</f>
        <v>18481</v>
      </c>
      <c r="P4" s="284">
        <f>Danemark!R13</f>
        <v>20565</v>
      </c>
      <c r="Q4" s="285">
        <f>Danemark!S13</f>
        <v>18778</v>
      </c>
      <c r="R4" s="285">
        <f>Danemark!T13</f>
        <v>16164</v>
      </c>
      <c r="S4" s="285">
        <f>Danemark!U13</f>
        <v>20204.949999999997</v>
      </c>
      <c r="T4" s="285">
        <f>Danemark!V13</f>
        <v>19815</v>
      </c>
      <c r="U4" s="285">
        <f>Danemark!W13</f>
        <v>17545</v>
      </c>
      <c r="V4" s="285">
        <f>Danemark!X13</f>
        <v>17783</v>
      </c>
      <c r="W4" s="285">
        <f>Danemark!Y13</f>
        <v>0</v>
      </c>
      <c r="X4" s="157">
        <f t="shared" si="0"/>
        <v>0.013565118267312659</v>
      </c>
    </row>
    <row r="5" spans="1:24" ht="12.75">
      <c r="A5" s="69" t="s">
        <v>108</v>
      </c>
      <c r="B5" s="72">
        <v>96870</v>
      </c>
      <c r="C5" s="72">
        <v>108024</v>
      </c>
      <c r="D5" s="72">
        <v>111215</v>
      </c>
      <c r="E5" s="72">
        <v>104544</v>
      </c>
      <c r="F5" s="72">
        <v>93637</v>
      </c>
      <c r="G5" s="72">
        <v>97518</v>
      </c>
      <c r="H5" s="72">
        <f>France!J14</f>
        <v>83348</v>
      </c>
      <c r="I5" s="72">
        <f>France!K14</f>
        <v>89922</v>
      </c>
      <c r="J5" s="72">
        <f>France!L14</f>
        <v>85334</v>
      </c>
      <c r="K5" s="103">
        <f>France!M14</f>
        <v>82224</v>
      </c>
      <c r="L5" s="286">
        <f>France!N14</f>
        <v>81473</v>
      </c>
      <c r="M5" s="286">
        <f>France!O14</f>
        <v>84553</v>
      </c>
      <c r="N5" s="286">
        <f>France!P14</f>
        <v>90547</v>
      </c>
      <c r="O5" s="287">
        <f>France!Q14</f>
        <v>87782</v>
      </c>
      <c r="P5" s="288">
        <f>France!R14</f>
        <v>81489</v>
      </c>
      <c r="Q5" s="289">
        <f>France!S14</f>
        <v>83113</v>
      </c>
      <c r="R5" s="289">
        <f>France!T14</f>
        <v>86459</v>
      </c>
      <c r="S5" s="289">
        <f>France!U14</f>
        <v>96310</v>
      </c>
      <c r="T5" s="289">
        <f>France!V14</f>
        <v>101660</v>
      </c>
      <c r="U5" s="289">
        <f>France!W14</f>
        <v>89845</v>
      </c>
      <c r="V5" s="289">
        <f>France!X14</f>
        <v>82292</v>
      </c>
      <c r="W5" s="289">
        <f>France!Y14</f>
        <v>77541</v>
      </c>
      <c r="X5" s="157">
        <f t="shared" si="0"/>
        <v>-0.08406700428515779</v>
      </c>
    </row>
    <row r="6" spans="1:24" ht="12.75">
      <c r="A6" s="7" t="s">
        <v>113</v>
      </c>
      <c r="B6" s="6">
        <v>28647</v>
      </c>
      <c r="C6" s="6">
        <v>28685</v>
      </c>
      <c r="D6" s="6">
        <v>25420</v>
      </c>
      <c r="E6" s="6">
        <v>23808</v>
      </c>
      <c r="F6" s="6">
        <v>24426</v>
      </c>
      <c r="G6" s="6">
        <v>26730.77</v>
      </c>
      <c r="H6" s="6">
        <f>Italie!J11</f>
        <v>24457.33</v>
      </c>
      <c r="I6" s="6">
        <f>Italie!K11</f>
        <v>22459</v>
      </c>
      <c r="J6" s="5">
        <f>Italie!L11</f>
        <v>24271</v>
      </c>
      <c r="K6" s="104">
        <f>Italie!M11</f>
        <v>26698.100000000002</v>
      </c>
      <c r="L6" s="277">
        <f>Italie!N11</f>
        <v>24376.8</v>
      </c>
      <c r="M6" s="277">
        <f>Italie!O11</f>
        <v>30504</v>
      </c>
      <c r="N6" s="277">
        <f>Italie!P11</f>
        <v>27691.87</v>
      </c>
      <c r="O6" s="278">
        <f>Italie!Q11</f>
        <v>21981</v>
      </c>
      <c r="P6" s="279">
        <f>Italie!R11</f>
        <v>20888</v>
      </c>
      <c r="Q6" s="255">
        <f>Italie!S11</f>
        <v>25707</v>
      </c>
      <c r="R6" s="255">
        <f>Italie!T11</f>
        <v>27859</v>
      </c>
      <c r="S6" s="255">
        <f>Italie!U11</f>
        <v>27407</v>
      </c>
      <c r="T6" s="255">
        <f>Italie!V11</f>
        <v>24290</v>
      </c>
      <c r="U6" s="255">
        <f>Italie!W11</f>
        <v>23374</v>
      </c>
      <c r="V6" s="255">
        <f>Italie!X11</f>
        <v>20942</v>
      </c>
      <c r="W6" s="255">
        <f>Italie!Y11</f>
        <v>21868</v>
      </c>
      <c r="X6" s="157">
        <f t="shared" si="0"/>
        <v>-0.10404723196714294</v>
      </c>
    </row>
    <row r="7" spans="1:26" ht="12.75">
      <c r="A7" s="7" t="s">
        <v>122</v>
      </c>
      <c r="B7" s="6">
        <v>12688</v>
      </c>
      <c r="C7" s="6">
        <v>14577</v>
      </c>
      <c r="D7" s="6">
        <v>14184</v>
      </c>
      <c r="E7" s="6">
        <v>18031</v>
      </c>
      <c r="F7" s="6">
        <v>16711</v>
      </c>
      <c r="G7" s="6">
        <f>15497+47+38.9+527.7</f>
        <v>16110.6</v>
      </c>
      <c r="H7" s="6">
        <f>Suède!J13</f>
        <v>16739.5</v>
      </c>
      <c r="I7" s="6">
        <f>Suède!K13</f>
        <v>15973</v>
      </c>
      <c r="J7" s="6">
        <f>Suède!L13</f>
        <v>16033</v>
      </c>
      <c r="K7" s="7">
        <f>Suède!M13</f>
        <v>14234</v>
      </c>
      <c r="L7" s="277">
        <f>Suède!N13</f>
        <v>12615</v>
      </c>
      <c r="M7" s="277">
        <f>Suède!O13</f>
        <v>12026</v>
      </c>
      <c r="N7" s="277">
        <f>Suède!P13</f>
        <v>12630</v>
      </c>
      <c r="O7" s="278">
        <f>Suède!Q13</f>
        <v>10827</v>
      </c>
      <c r="P7" s="279">
        <f>Suède!R13</f>
        <v>12701</v>
      </c>
      <c r="Q7" s="255">
        <f>Suède!S13</f>
        <v>12775</v>
      </c>
      <c r="R7" s="255">
        <f>Suède!T13</f>
        <v>10759</v>
      </c>
      <c r="S7" s="255">
        <f>Suède!U13</f>
        <v>15056</v>
      </c>
      <c r="T7" s="255">
        <f>Suède!V13</f>
        <v>13707</v>
      </c>
      <c r="U7" s="255">
        <f>Suède!W13</f>
        <v>14106</v>
      </c>
      <c r="V7" s="255">
        <f>Suède!X13</f>
        <v>12883.4</v>
      </c>
      <c r="W7" s="255">
        <f>Suède!Y13</f>
        <v>0</v>
      </c>
      <c r="X7" s="157">
        <f t="shared" si="0"/>
        <v>-0.08667233801219343</v>
      </c>
      <c r="Z7" s="240" t="s">
        <v>39</v>
      </c>
    </row>
    <row r="8" spans="1:24" ht="12.75">
      <c r="A8" s="7" t="s">
        <v>116</v>
      </c>
      <c r="B8" s="6">
        <v>56424</v>
      </c>
      <c r="C8" s="6">
        <v>59577</v>
      </c>
      <c r="D8" s="6">
        <v>56852</v>
      </c>
      <c r="E8" s="6">
        <v>57698</v>
      </c>
      <c r="F8" s="6">
        <v>39044</v>
      </c>
      <c r="G8" s="6">
        <v>43901</v>
      </c>
      <c r="H8" s="6">
        <f>UK!J13</f>
        <v>36441</v>
      </c>
      <c r="I8" s="6">
        <f>UK!K13</f>
        <v>39608</v>
      </c>
      <c r="J8" s="95">
        <f>UK!L13</f>
        <v>40211.56470588235</v>
      </c>
      <c r="K8" s="38">
        <f>UK!M13</f>
        <v>35364.9</v>
      </c>
      <c r="L8" s="277">
        <f>UK!N13</f>
        <v>30729.1</v>
      </c>
      <c r="M8" s="277">
        <f>UK!O13</f>
        <v>38795</v>
      </c>
      <c r="N8" s="277">
        <f>UK!P13</f>
        <v>34887</v>
      </c>
      <c r="O8" s="277">
        <f>UK!Q13</f>
        <v>35172</v>
      </c>
      <c r="P8" s="279">
        <f>UK!R13</f>
        <v>34159</v>
      </c>
      <c r="Q8" s="255">
        <f>UK!S13</f>
        <v>35332</v>
      </c>
      <c r="R8" s="255">
        <f>UK!T13</f>
        <v>34052</v>
      </c>
      <c r="S8" s="255">
        <f>UK!U13</f>
        <v>41985</v>
      </c>
      <c r="T8" s="255">
        <f>UK!V13</f>
        <v>36531.11</v>
      </c>
      <c r="U8" s="255">
        <f>UK!W13</f>
        <v>33270</v>
      </c>
      <c r="V8" s="255">
        <f>UK!X13</f>
        <v>32753.649999999998</v>
      </c>
      <c r="W8" s="255">
        <f>UK!Y13</f>
        <v>33743.70000000001</v>
      </c>
      <c r="X8" s="157">
        <f t="shared" si="0"/>
        <v>-0.015519987977156702</v>
      </c>
    </row>
    <row r="9" spans="1:27" ht="12.75">
      <c r="A9" s="7" t="s">
        <v>115</v>
      </c>
      <c r="B9" s="6">
        <v>282</v>
      </c>
      <c r="C9" s="6">
        <v>443</v>
      </c>
      <c r="D9" s="6">
        <v>267</v>
      </c>
      <c r="E9" s="6">
        <v>743</v>
      </c>
      <c r="F9" s="6">
        <v>330</v>
      </c>
      <c r="G9" s="6">
        <v>319</v>
      </c>
      <c r="H9" s="6">
        <v>500</v>
      </c>
      <c r="I9" s="65">
        <v>783</v>
      </c>
      <c r="J9" s="5">
        <v>500</v>
      </c>
      <c r="K9" s="7"/>
      <c r="L9" s="277"/>
      <c r="M9" s="277">
        <f>Finlande!O13</f>
        <v>370</v>
      </c>
      <c r="N9" s="277">
        <f>Finlande!P13</f>
        <v>195</v>
      </c>
      <c r="O9" s="278">
        <f>Finlande!Q13</f>
        <v>340</v>
      </c>
      <c r="P9" s="279">
        <f>Finlande!R13</f>
        <v>684</v>
      </c>
      <c r="Q9" s="255">
        <f>Finlande!S13</f>
        <v>500</v>
      </c>
      <c r="R9" s="255"/>
      <c r="S9" s="255"/>
      <c r="T9" s="255"/>
      <c r="U9" s="255"/>
      <c r="V9" s="255"/>
      <c r="W9" s="255"/>
      <c r="X9" s="157" t="e">
        <f t="shared" si="0"/>
        <v>#DIV/0!</v>
      </c>
      <c r="AA9" t="s">
        <v>39</v>
      </c>
    </row>
    <row r="10" spans="1:24" ht="12.75">
      <c r="A10" s="29"/>
      <c r="B10" s="99"/>
      <c r="C10" s="99"/>
      <c r="D10" s="99"/>
      <c r="E10" s="99"/>
      <c r="F10" s="99"/>
      <c r="G10" s="99"/>
      <c r="H10" s="99"/>
      <c r="I10" s="221"/>
      <c r="J10" s="29"/>
      <c r="K10" s="29"/>
      <c r="L10" s="313"/>
      <c r="M10" s="313"/>
      <c r="N10" s="313"/>
      <c r="O10" s="313"/>
      <c r="P10" s="314"/>
      <c r="Q10" s="315"/>
      <c r="R10" s="315"/>
      <c r="S10" s="315"/>
      <c r="T10" s="316"/>
      <c r="U10" s="316"/>
      <c r="V10" s="316"/>
      <c r="W10" s="358"/>
      <c r="X10" s="316"/>
    </row>
    <row r="11" ht="12.75">
      <c r="X11" s="290"/>
    </row>
    <row r="12" spans="1:25" ht="15.75">
      <c r="A12" s="159" t="s">
        <v>120</v>
      </c>
      <c r="B12" s="60">
        <v>1997</v>
      </c>
      <c r="C12" s="60">
        <v>1998</v>
      </c>
      <c r="D12" s="60">
        <v>1999</v>
      </c>
      <c r="E12" s="60">
        <v>2000</v>
      </c>
      <c r="F12" s="60">
        <v>2001</v>
      </c>
      <c r="G12" s="60">
        <v>2002</v>
      </c>
      <c r="H12" s="178">
        <v>2003</v>
      </c>
      <c r="I12" s="178">
        <v>2004</v>
      </c>
      <c r="J12" s="178">
        <v>2005</v>
      </c>
      <c r="K12" s="179">
        <v>2006</v>
      </c>
      <c r="L12" s="178">
        <v>2007</v>
      </c>
      <c r="M12" s="180">
        <v>2008</v>
      </c>
      <c r="N12" s="178">
        <v>2009</v>
      </c>
      <c r="O12" s="178">
        <v>2010</v>
      </c>
      <c r="P12" s="225">
        <v>2011</v>
      </c>
      <c r="Q12" s="178">
        <v>2012</v>
      </c>
      <c r="R12" s="178">
        <v>2013</v>
      </c>
      <c r="S12" s="178">
        <v>2014</v>
      </c>
      <c r="T12" s="178">
        <v>2015</v>
      </c>
      <c r="U12" s="178">
        <v>2016</v>
      </c>
      <c r="V12" s="178">
        <v>2017</v>
      </c>
      <c r="W12" s="350" t="s">
        <v>204</v>
      </c>
      <c r="X12" s="178" t="s">
        <v>205</v>
      </c>
      <c r="Y12" s="240" t="s">
        <v>39</v>
      </c>
    </row>
    <row r="13" spans="1:24" s="67" customFormat="1" ht="12.75">
      <c r="A13" s="69" t="s">
        <v>108</v>
      </c>
      <c r="B13" s="72">
        <v>10323</v>
      </c>
      <c r="C13" s="72">
        <v>12495</v>
      </c>
      <c r="D13" s="72">
        <v>15458</v>
      </c>
      <c r="E13" s="72">
        <v>18106</v>
      </c>
      <c r="F13" s="72">
        <v>15618</v>
      </c>
      <c r="G13" s="72">
        <v>16408</v>
      </c>
      <c r="H13" s="72">
        <f>France!J12</f>
        <v>16014</v>
      </c>
      <c r="I13" s="72">
        <f>France!K12</f>
        <v>18353</v>
      </c>
      <c r="J13" s="72">
        <f>France!L12</f>
        <v>16742</v>
      </c>
      <c r="K13" s="103">
        <f>France!M12</f>
        <v>16926</v>
      </c>
      <c r="L13" s="72">
        <f>France!N12</f>
        <v>16487</v>
      </c>
      <c r="M13" s="72">
        <f>France!O12</f>
        <v>16940</v>
      </c>
      <c r="N13" s="72">
        <f>France!P12</f>
        <v>15763</v>
      </c>
      <c r="O13" s="103">
        <f>France!Q12</f>
        <v>16617</v>
      </c>
      <c r="P13" s="226">
        <f>France!R12</f>
        <v>13998</v>
      </c>
      <c r="Q13" s="194">
        <f>France!S12</f>
        <v>14050</v>
      </c>
      <c r="R13" s="194">
        <f>France!T12</f>
        <v>13586</v>
      </c>
      <c r="S13" s="194">
        <f>France!U12</f>
        <v>12623</v>
      </c>
      <c r="T13" s="194">
        <f>France!V12</f>
        <v>12609</v>
      </c>
      <c r="U13" s="194">
        <f>France!W12</f>
        <v>13155</v>
      </c>
      <c r="V13" s="194">
        <f>France!X12</f>
        <v>13410</v>
      </c>
      <c r="W13" s="194">
        <f>France!Y12</f>
        <v>10498</v>
      </c>
      <c r="X13" s="157">
        <f t="shared" si="0"/>
        <v>0.019384264538198304</v>
      </c>
    </row>
    <row r="14" spans="1:24" ht="12.75">
      <c r="A14" s="7" t="s">
        <v>113</v>
      </c>
      <c r="B14" s="6">
        <v>133990</v>
      </c>
      <c r="C14" s="6">
        <v>136244</v>
      </c>
      <c r="D14" s="6">
        <v>131467</v>
      </c>
      <c r="E14" s="6">
        <v>138790</v>
      </c>
      <c r="F14" s="6">
        <v>139387</v>
      </c>
      <c r="G14" s="6">
        <v>157600.62</v>
      </c>
      <c r="H14" s="6">
        <f>Italie!J10</f>
        <v>165164.96</v>
      </c>
      <c r="I14" s="6">
        <f>Italie!K10</f>
        <v>171487</v>
      </c>
      <c r="J14" s="5">
        <f>Italie!L10</f>
        <v>91822</v>
      </c>
      <c r="K14" s="104">
        <f>Italie!M10</f>
        <v>101004.20000000001</v>
      </c>
      <c r="L14" s="6">
        <f>Italie!N10</f>
        <v>95884.4</v>
      </c>
      <c r="M14" s="6">
        <f>Italie!O10</f>
        <v>124448</v>
      </c>
      <c r="N14" s="6">
        <f>Italie!P10</f>
        <v>91811.66</v>
      </c>
      <c r="O14" s="38">
        <f>Italie!Q10</f>
        <v>82323</v>
      </c>
      <c r="P14" s="65">
        <f>Italie!R10</f>
        <v>49599</v>
      </c>
      <c r="Q14" s="190">
        <f>Italie!S10</f>
        <v>73672</v>
      </c>
      <c r="R14" s="190">
        <f>Italie!T10</f>
        <v>72958</v>
      </c>
      <c r="S14" s="190">
        <f>Italie!U10</f>
        <v>67907</v>
      </c>
      <c r="T14" s="190">
        <f>Italie!V10</f>
        <v>70948</v>
      </c>
      <c r="U14" s="190">
        <f>Italie!W10</f>
        <v>83785</v>
      </c>
      <c r="V14" s="190">
        <f>Italie!X10</f>
        <v>64105</v>
      </c>
      <c r="W14" s="190">
        <f>Italie!Y10</f>
        <v>58955</v>
      </c>
      <c r="X14" s="157">
        <f t="shared" si="0"/>
        <v>-0.234886912931909</v>
      </c>
    </row>
    <row r="15" spans="1:24" ht="12.75">
      <c r="A15" s="7" t="s">
        <v>116</v>
      </c>
      <c r="B15" s="6">
        <v>0</v>
      </c>
      <c r="C15" s="6">
        <v>80</v>
      </c>
      <c r="D15" s="6">
        <v>386</v>
      </c>
      <c r="E15" s="6">
        <v>344</v>
      </c>
      <c r="F15" s="6">
        <v>396</v>
      </c>
      <c r="G15" s="6">
        <v>248</v>
      </c>
      <c r="H15" s="6">
        <f>UK!J11</f>
        <v>258.3</v>
      </c>
      <c r="I15" s="6">
        <f>UK!K11</f>
        <v>157.7</v>
      </c>
      <c r="J15" s="95">
        <f>UK!L11</f>
        <v>200.4</v>
      </c>
      <c r="K15" s="7">
        <f>UK!M11</f>
        <v>145</v>
      </c>
      <c r="L15" s="6">
        <f>UK!N11</f>
        <v>59</v>
      </c>
      <c r="M15" s="6">
        <v>0</v>
      </c>
      <c r="N15" s="6">
        <v>0</v>
      </c>
      <c r="O15" s="38">
        <v>0</v>
      </c>
      <c r="P15" s="65">
        <f>UK!R11</f>
        <v>0</v>
      </c>
      <c r="Q15" s="190">
        <f>UK!S11</f>
        <v>0</v>
      </c>
      <c r="R15" s="190">
        <f>UK!T11</f>
        <v>0</v>
      </c>
      <c r="S15" s="190">
        <f>UK!U11</f>
        <v>0</v>
      </c>
      <c r="T15" s="190">
        <f>UK!V11</f>
        <v>0</v>
      </c>
      <c r="U15" s="190">
        <f>UK!W11</f>
        <v>0</v>
      </c>
      <c r="V15" s="190">
        <f>UK!X11</f>
        <v>0</v>
      </c>
      <c r="W15" s="190">
        <f>UK!Y11</f>
        <v>0</v>
      </c>
      <c r="X15" s="157" t="e">
        <f t="shared" si="0"/>
        <v>#DIV/0!</v>
      </c>
    </row>
    <row r="16" ht="12.75">
      <c r="X16" s="290"/>
    </row>
    <row r="17" ht="12.75">
      <c r="X17" s="290"/>
    </row>
    <row r="18" spans="1:24" ht="15.75">
      <c r="A18" s="159" t="s">
        <v>121</v>
      </c>
      <c r="B18" s="60">
        <v>1997</v>
      </c>
      <c r="C18" s="60">
        <v>1998</v>
      </c>
      <c r="D18" s="60">
        <v>1999</v>
      </c>
      <c r="E18" s="60">
        <v>2000</v>
      </c>
      <c r="F18" s="60">
        <v>2001</v>
      </c>
      <c r="G18" s="60">
        <v>2002</v>
      </c>
      <c r="H18" s="178">
        <v>2003</v>
      </c>
      <c r="I18" s="178">
        <v>2004</v>
      </c>
      <c r="J18" s="178">
        <v>2005</v>
      </c>
      <c r="K18" s="179">
        <v>2006</v>
      </c>
      <c r="L18" s="178">
        <v>2007</v>
      </c>
      <c r="M18" s="180">
        <v>2008</v>
      </c>
      <c r="N18" s="178">
        <v>2009</v>
      </c>
      <c r="O18" s="178">
        <v>2010</v>
      </c>
      <c r="P18" s="225">
        <v>2011</v>
      </c>
      <c r="Q18" s="178">
        <v>2012</v>
      </c>
      <c r="R18" s="178">
        <v>2013</v>
      </c>
      <c r="S18" s="178">
        <v>2014</v>
      </c>
      <c r="T18" s="178">
        <v>2015</v>
      </c>
      <c r="U18" s="178">
        <v>2016</v>
      </c>
      <c r="V18" s="178">
        <v>2017</v>
      </c>
      <c r="W18" s="350" t="s">
        <v>204</v>
      </c>
      <c r="X18" s="178" t="s">
        <v>205</v>
      </c>
    </row>
    <row r="19" spans="1:24" ht="12.75">
      <c r="A19" s="38" t="s">
        <v>119</v>
      </c>
      <c r="B19" s="6">
        <v>1089</v>
      </c>
      <c r="C19" s="6">
        <v>1228</v>
      </c>
      <c r="D19" s="6">
        <v>1189</v>
      </c>
      <c r="E19" s="6">
        <v>1256</v>
      </c>
      <c r="F19" s="6">
        <v>919</v>
      </c>
      <c r="G19" s="6">
        <v>878</v>
      </c>
      <c r="H19" s="6">
        <f>Belgique!J7</f>
        <v>838</v>
      </c>
      <c r="I19" s="6">
        <f>Belgique!K7</f>
        <v>989</v>
      </c>
      <c r="J19" s="6">
        <f>Belgique!L7</f>
        <v>1270</v>
      </c>
      <c r="K19" s="6">
        <f>Belgique!M7</f>
        <v>1277</v>
      </c>
      <c r="L19" s="6">
        <f>Belgique!N7</f>
        <v>1427</v>
      </c>
      <c r="M19" s="6">
        <f>Belgique!O7</f>
        <v>1632.1200000000001</v>
      </c>
      <c r="N19" s="6">
        <f>Belgique!P7</f>
        <v>1315.3</v>
      </c>
      <c r="O19" s="38">
        <f>Belgique!Q7</f>
        <v>2012</v>
      </c>
      <c r="P19" s="65">
        <f>Belgique!R7</f>
        <v>1930</v>
      </c>
      <c r="Q19" s="192">
        <f>Belgique!S6</f>
        <v>0</v>
      </c>
      <c r="R19" s="192">
        <f>Belgique!T6+Belgique!T5</f>
        <v>1143.51</v>
      </c>
      <c r="S19" s="192">
        <f>Belgique!U6+Belgique!U5</f>
        <v>1206</v>
      </c>
      <c r="T19" s="192">
        <f>Belgique!V5+Belgique!V6</f>
        <v>1231</v>
      </c>
      <c r="U19" s="192">
        <f>Belgique!W5+Belgique!W6</f>
        <v>0</v>
      </c>
      <c r="V19" s="192">
        <f>Belgique!X5+Belgique!X6</f>
        <v>0</v>
      </c>
      <c r="W19" s="192">
        <f>Belgique!Y5+Belgique!Y6</f>
        <v>1220</v>
      </c>
      <c r="X19" s="157" t="e">
        <f t="shared" si="0"/>
        <v>#DIV/0!</v>
      </c>
    </row>
    <row r="20" spans="1:24" ht="12.75">
      <c r="A20" s="38" t="s">
        <v>111</v>
      </c>
      <c r="B20" s="6">
        <v>36733</v>
      </c>
      <c r="C20" s="6">
        <v>36964</v>
      </c>
      <c r="D20" s="6">
        <v>35592</v>
      </c>
      <c r="E20" s="6">
        <v>34383</v>
      </c>
      <c r="F20" s="6">
        <v>32995</v>
      </c>
      <c r="G20" s="6">
        <v>30238</v>
      </c>
      <c r="H20" s="6">
        <f>Allemagne!J7</f>
        <v>30210</v>
      </c>
      <c r="I20" s="90">
        <f>Allemagne!K7</f>
        <v>34218</v>
      </c>
      <c r="J20" s="6">
        <f>Allemagne!L7</f>
        <v>29714</v>
      </c>
      <c r="K20" s="45">
        <f>Allemagne!M7</f>
        <v>29142</v>
      </c>
      <c r="L20" s="20">
        <f>Allemagne!N7</f>
        <v>28540</v>
      </c>
      <c r="M20" s="20">
        <f>Allemagne!O7</f>
        <v>30048</v>
      </c>
      <c r="N20" s="20">
        <f>Allemagne!P7</f>
        <v>28167</v>
      </c>
      <c r="O20" s="45">
        <f>Allemagne!Q7</f>
        <v>23813</v>
      </c>
      <c r="P20" s="175">
        <f>Allemagne!R7</f>
        <v>22686</v>
      </c>
      <c r="Q20" s="192">
        <f>Allemagne!S7</f>
        <v>24524</v>
      </c>
      <c r="R20" s="192">
        <f>Allemagne!T7</f>
        <v>29031</v>
      </c>
      <c r="S20" s="192">
        <f>Allemagne!U7</f>
        <v>26009</v>
      </c>
      <c r="T20" s="192">
        <f>Allemagne!V7</f>
        <v>24606</v>
      </c>
      <c r="U20" s="192">
        <f>Allemagne!W7</f>
        <v>18762</v>
      </c>
      <c r="V20" s="192">
        <f>Allemagne!X7</f>
        <v>20941</v>
      </c>
      <c r="W20" s="192">
        <f>Allemagne!Y7</f>
        <v>0</v>
      </c>
      <c r="X20" s="157">
        <f t="shared" si="0"/>
        <v>0.11613900437053615</v>
      </c>
    </row>
    <row r="21" spans="1:24" ht="12.75">
      <c r="A21" s="80" t="s">
        <v>112</v>
      </c>
      <c r="B21" s="83">
        <v>7842</v>
      </c>
      <c r="C21" s="83">
        <v>8036</v>
      </c>
      <c r="D21" s="83">
        <v>7601</v>
      </c>
      <c r="E21" s="83">
        <v>6734</v>
      </c>
      <c r="F21" s="83">
        <v>6182</v>
      </c>
      <c r="G21" s="83">
        <v>5426</v>
      </c>
      <c r="H21" s="83">
        <f>Danemark!J7</f>
        <v>5757</v>
      </c>
      <c r="I21" s="83">
        <f>Danemark!K7</f>
        <v>5159</v>
      </c>
      <c r="J21" s="83">
        <f>Danemark!L7</f>
        <v>5380</v>
      </c>
      <c r="K21" s="80">
        <f>Danemark!M7</f>
        <v>6465</v>
      </c>
      <c r="L21" s="80">
        <f>Danemark!N7</f>
        <v>6330</v>
      </c>
      <c r="M21" s="80">
        <f>Danemark!O7</f>
        <v>6734</v>
      </c>
      <c r="N21" s="80">
        <f>Danemark!P7</f>
        <v>6531</v>
      </c>
      <c r="O21" s="80">
        <f>Danemark!Q7</f>
        <v>4867</v>
      </c>
      <c r="P21" s="174">
        <f>Danemark!R7</f>
        <v>5387</v>
      </c>
      <c r="Q21" s="192">
        <f>Danemark!S7</f>
        <v>4704</v>
      </c>
      <c r="R21" s="192">
        <f>Danemark!T7</f>
        <v>3717</v>
      </c>
      <c r="S21" s="192">
        <f>Danemark!U7</f>
        <v>4654.1900000000005</v>
      </c>
      <c r="T21" s="192">
        <f>Danemark!V7</f>
        <v>8027</v>
      </c>
      <c r="U21" s="192">
        <f>Danemark!W7</f>
        <v>3531</v>
      </c>
      <c r="V21" s="192">
        <f>Danemark!X7</f>
        <v>4361</v>
      </c>
      <c r="W21" s="192">
        <f>Danemark!Y7</f>
        <v>0</v>
      </c>
      <c r="X21" s="157">
        <f t="shared" si="0"/>
        <v>0.2350608892664967</v>
      </c>
    </row>
    <row r="22" spans="1:24" ht="12.75">
      <c r="A22" s="69" t="s">
        <v>108</v>
      </c>
      <c r="B22" s="72">
        <v>31883</v>
      </c>
      <c r="C22" s="72">
        <v>32471</v>
      </c>
      <c r="D22" s="72">
        <v>25226</v>
      </c>
      <c r="E22" s="72">
        <v>23445</v>
      </c>
      <c r="F22" s="72">
        <v>23142</v>
      </c>
      <c r="G22" s="72">
        <v>24430</v>
      </c>
      <c r="H22" s="72">
        <v>22082</v>
      </c>
      <c r="I22" s="72">
        <v>22631</v>
      </c>
      <c r="J22" s="72">
        <v>21508</v>
      </c>
      <c r="K22" s="103">
        <f>France!M7</f>
        <v>22051</v>
      </c>
      <c r="L22" s="72">
        <f>France!N7</f>
        <v>22294</v>
      </c>
      <c r="M22" s="72">
        <f>France!O7</f>
        <v>24318</v>
      </c>
      <c r="N22" s="72">
        <f>France!P7</f>
        <v>26065</v>
      </c>
      <c r="O22" s="103">
        <f>France!Q7</f>
        <v>22808</v>
      </c>
      <c r="P22" s="226">
        <f>France!R7</f>
        <v>20025</v>
      </c>
      <c r="Q22" s="194">
        <f>France!S7</f>
        <v>22762</v>
      </c>
      <c r="R22" s="194">
        <f>France!T7</f>
        <v>23950</v>
      </c>
      <c r="S22" s="194">
        <f>France!U7</f>
        <v>21383</v>
      </c>
      <c r="T22" s="194">
        <f>France!V7</f>
        <v>26642</v>
      </c>
      <c r="U22" s="194">
        <f>France!W7</f>
        <v>23616</v>
      </c>
      <c r="V22" s="194">
        <f>France!X7</f>
        <v>23683</v>
      </c>
      <c r="W22" s="194">
        <f>France!Y7</f>
        <v>21266</v>
      </c>
      <c r="X22" s="157">
        <f t="shared" si="0"/>
        <v>0.002837059620596216</v>
      </c>
    </row>
    <row r="23" spans="1:24" ht="12.75">
      <c r="A23" s="7" t="s">
        <v>122</v>
      </c>
      <c r="B23" s="6">
        <v>248</v>
      </c>
      <c r="C23" s="6">
        <v>520</v>
      </c>
      <c r="D23" s="6">
        <v>381</v>
      </c>
      <c r="E23" s="6">
        <v>376</v>
      </c>
      <c r="F23" s="6">
        <v>220</v>
      </c>
      <c r="G23" s="6">
        <v>205</v>
      </c>
      <c r="H23" s="6">
        <f>Suède!J7</f>
        <v>133.1</v>
      </c>
      <c r="I23" s="6">
        <f>Suède!K7</f>
        <v>130</v>
      </c>
      <c r="J23" s="5">
        <f>Suède!L7</f>
        <v>173</v>
      </c>
      <c r="K23" s="7">
        <f>Suède!M7</f>
        <v>174</v>
      </c>
      <c r="L23" s="38">
        <f>Suède!N7</f>
        <v>291</v>
      </c>
      <c r="M23" s="38">
        <f>Suède!O7</f>
        <v>356</v>
      </c>
      <c r="N23" s="38">
        <f>Suède!P7</f>
        <v>702</v>
      </c>
      <c r="O23" s="38">
        <f>Suède!Q7</f>
        <v>443</v>
      </c>
      <c r="P23" s="65">
        <f>Suède!R7</f>
        <v>675</v>
      </c>
      <c r="Q23" s="190">
        <f>Suède!S7</f>
        <v>613</v>
      </c>
      <c r="R23" s="190">
        <f>Suède!T7</f>
        <v>605</v>
      </c>
      <c r="S23" s="190">
        <f>Suède!U7</f>
        <v>550</v>
      </c>
      <c r="T23" s="190">
        <f>Suède!V7</f>
        <v>453</v>
      </c>
      <c r="U23" s="190">
        <f>Suède!W7</f>
        <v>698</v>
      </c>
      <c r="V23" s="190">
        <f>Suède!X7</f>
        <v>519.9</v>
      </c>
      <c r="W23" s="190">
        <f>Suède!Y7</f>
        <v>0</v>
      </c>
      <c r="X23" s="157">
        <f t="shared" si="0"/>
        <v>-0.2551575931232092</v>
      </c>
    </row>
    <row r="24" spans="1:24" ht="12.75">
      <c r="A24" s="7" t="s">
        <v>116</v>
      </c>
      <c r="B24" s="6">
        <v>29473</v>
      </c>
      <c r="C24" s="6">
        <v>25441</v>
      </c>
      <c r="D24" s="6">
        <v>17745</v>
      </c>
      <c r="E24" s="6">
        <v>18225</v>
      </c>
      <c r="F24" s="6">
        <v>15094</v>
      </c>
      <c r="G24" s="6">
        <v>14894</v>
      </c>
      <c r="H24" s="6">
        <f>UK!J7</f>
        <v>11280.8</v>
      </c>
      <c r="I24" s="6">
        <f>UK!K7</f>
        <v>11363</v>
      </c>
      <c r="J24" s="95">
        <f>UK!L7</f>
        <v>9517.498039215687</v>
      </c>
      <c r="K24" s="95">
        <f>UK!M7</f>
        <v>9525</v>
      </c>
      <c r="L24" s="95">
        <f>UK!N7</f>
        <v>9050</v>
      </c>
      <c r="M24" s="95">
        <f>UK!O7</f>
        <v>9809</v>
      </c>
      <c r="N24" s="65">
        <f>UK!P7</f>
        <v>10220</v>
      </c>
      <c r="O24" s="65">
        <f>UK!Q7</f>
        <v>8707</v>
      </c>
      <c r="P24" s="65">
        <f>UK!R7</f>
        <v>7100</v>
      </c>
      <c r="Q24" s="228">
        <f>UK!S7</f>
        <v>9694</v>
      </c>
      <c r="R24" s="228">
        <f>UK!T7</f>
        <v>11947</v>
      </c>
      <c r="S24" s="228">
        <f>UK!U7</f>
        <v>13565.470000000001</v>
      </c>
      <c r="T24" s="228">
        <f>UK!V7</f>
        <v>9334.32</v>
      </c>
      <c r="U24" s="228">
        <f>UK!W7</f>
        <v>10271</v>
      </c>
      <c r="V24" s="228">
        <f>UK!X7</f>
        <v>9972.94</v>
      </c>
      <c r="W24" s="228">
        <f>UK!Y7</f>
        <v>8863.439999999999</v>
      </c>
      <c r="X24" s="157">
        <f t="shared" si="0"/>
        <v>-0.029019569662155575</v>
      </c>
    </row>
    <row r="25" ht="12.75">
      <c r="X25" s="290"/>
    </row>
    <row r="26" ht="12.75">
      <c r="X26" s="290"/>
    </row>
    <row r="27" spans="1:24" ht="15.75">
      <c r="A27" s="159" t="s">
        <v>123</v>
      </c>
      <c r="B27" s="60">
        <v>1997</v>
      </c>
      <c r="C27" s="60">
        <v>1998</v>
      </c>
      <c r="D27" s="60">
        <v>1999</v>
      </c>
      <c r="E27" s="60">
        <v>2000</v>
      </c>
      <c r="F27" s="60">
        <v>2001</v>
      </c>
      <c r="G27" s="60">
        <v>2002</v>
      </c>
      <c r="H27" s="178">
        <v>2003</v>
      </c>
      <c r="I27" s="178">
        <v>2004</v>
      </c>
      <c r="J27" s="178">
        <v>2005</v>
      </c>
      <c r="K27" s="179">
        <v>2006</v>
      </c>
      <c r="L27" s="178">
        <v>2007</v>
      </c>
      <c r="M27" s="180">
        <v>2008</v>
      </c>
      <c r="N27" s="178">
        <v>2009</v>
      </c>
      <c r="O27" s="178">
        <v>2010</v>
      </c>
      <c r="P27" s="225">
        <v>2011</v>
      </c>
      <c r="Q27" s="178">
        <v>2012</v>
      </c>
      <c r="R27" s="178">
        <v>2013</v>
      </c>
      <c r="S27" s="178">
        <v>2014</v>
      </c>
      <c r="T27" s="178">
        <v>2015</v>
      </c>
      <c r="U27" s="178">
        <v>2016</v>
      </c>
      <c r="V27" s="178">
        <v>2017</v>
      </c>
      <c r="W27" s="350" t="s">
        <v>204</v>
      </c>
      <c r="X27" s="178" t="s">
        <v>205</v>
      </c>
    </row>
    <row r="28" spans="1:24" ht="12.75">
      <c r="A28" s="38" t="s">
        <v>111</v>
      </c>
      <c r="B28" s="6">
        <v>23024</v>
      </c>
      <c r="C28" s="6">
        <v>19187</v>
      </c>
      <c r="D28" s="6">
        <v>22538</v>
      </c>
      <c r="E28" s="6">
        <v>18769</v>
      </c>
      <c r="F28" s="6">
        <v>17762</v>
      </c>
      <c r="G28" s="6">
        <v>18102</v>
      </c>
      <c r="H28" s="190">
        <f>Allemagne!J6</f>
        <v>20814</v>
      </c>
      <c r="I28" s="190">
        <f>Allemagne!K6</f>
        <v>19539</v>
      </c>
      <c r="J28" s="190">
        <f>Allemagne!L6</f>
        <v>15608</v>
      </c>
      <c r="K28" s="191">
        <f>Allemagne!M6</f>
        <v>14633</v>
      </c>
      <c r="L28" s="190">
        <f>Allemagne!N6</f>
        <v>14198</v>
      </c>
      <c r="M28" s="190">
        <f>Allemagne!O6</f>
        <v>18252</v>
      </c>
      <c r="N28" s="190">
        <f>Allemagne!P6</f>
        <v>12523</v>
      </c>
      <c r="O28" s="191">
        <f>Allemagne!Q6</f>
        <v>8935</v>
      </c>
      <c r="P28" s="228">
        <f>Allemagne!R6</f>
        <v>9780</v>
      </c>
      <c r="Q28" s="190">
        <f>Allemagne!S6</f>
        <v>10073</v>
      </c>
      <c r="R28" s="190">
        <f>Allemagne!T6</f>
        <v>9480</v>
      </c>
      <c r="S28" s="190">
        <f>Allemagne!U6</f>
        <v>8292</v>
      </c>
      <c r="T28" s="190">
        <f>Allemagne!V6</f>
        <v>8083</v>
      </c>
      <c r="U28" s="190">
        <f>Allemagne!W6</f>
        <v>7759</v>
      </c>
      <c r="V28" s="190">
        <f>Allemagne!X6</f>
        <v>8111</v>
      </c>
      <c r="W28" s="190">
        <f>Allemagne!Y6</f>
        <v>0</v>
      </c>
      <c r="X28" s="157">
        <f t="shared" si="0"/>
        <v>0.04536667096275293</v>
      </c>
    </row>
    <row r="29" spans="1:24" ht="12.75">
      <c r="A29" s="80" t="s">
        <v>112</v>
      </c>
      <c r="B29" s="83">
        <v>38309</v>
      </c>
      <c r="C29" s="83">
        <v>32366</v>
      </c>
      <c r="D29" s="83">
        <v>36647</v>
      </c>
      <c r="E29" s="83">
        <v>38770</v>
      </c>
      <c r="F29" s="83">
        <v>37250</v>
      </c>
      <c r="G29" s="83">
        <v>36730</v>
      </c>
      <c r="H29" s="192">
        <f>Danemark!J6</f>
        <v>29230</v>
      </c>
      <c r="I29" s="192">
        <f>Danemark!K6</f>
        <v>32565</v>
      </c>
      <c r="J29" s="192">
        <f>Danemark!L6</f>
        <v>32290</v>
      </c>
      <c r="K29" s="193">
        <f>Danemark!M6</f>
        <v>30515</v>
      </c>
      <c r="L29" s="193">
        <f>Danemark!N6</f>
        <v>27100</v>
      </c>
      <c r="M29" s="193">
        <f>Danemark!O6</f>
        <v>30978</v>
      </c>
      <c r="N29" s="193">
        <f>Danemark!P6</f>
        <v>24567</v>
      </c>
      <c r="O29" s="193">
        <f>Danemark!Q6</f>
        <v>20585</v>
      </c>
      <c r="P29" s="229">
        <f>Danemark!R6</f>
        <v>22755</v>
      </c>
      <c r="Q29" s="192">
        <f>Danemark!S6</f>
        <v>27764</v>
      </c>
      <c r="R29" s="192">
        <f>Danemark!T6</f>
        <v>26709</v>
      </c>
      <c r="S29" s="192">
        <f>Danemark!U6</f>
        <v>25251</v>
      </c>
      <c r="T29" s="192">
        <f>Danemark!V6</f>
        <v>28777</v>
      </c>
      <c r="U29" s="192">
        <f>Danemark!W6</f>
        <v>24702</v>
      </c>
      <c r="V29" s="192">
        <f>Danemark!X6</f>
        <v>25067</v>
      </c>
      <c r="W29" s="192">
        <f>Danemark!Y6</f>
        <v>0</v>
      </c>
      <c r="X29" s="157">
        <f t="shared" si="0"/>
        <v>0.014776131487328925</v>
      </c>
    </row>
    <row r="30" spans="1:24" ht="12.75">
      <c r="A30" s="69" t="s">
        <v>108</v>
      </c>
      <c r="B30" s="72">
        <v>16889</v>
      </c>
      <c r="C30" s="72">
        <v>16147</v>
      </c>
      <c r="D30" s="72">
        <v>15798</v>
      </c>
      <c r="E30" s="72">
        <v>15483</v>
      </c>
      <c r="F30" s="72">
        <v>18303</v>
      </c>
      <c r="G30" s="72">
        <v>17338</v>
      </c>
      <c r="H30" s="194">
        <v>16656</v>
      </c>
      <c r="I30" s="194">
        <v>16109</v>
      </c>
      <c r="J30" s="194">
        <v>14916</v>
      </c>
      <c r="K30" s="195">
        <v>12953</v>
      </c>
      <c r="L30" s="194">
        <f>+France!N6</f>
        <v>13666</v>
      </c>
      <c r="M30" s="194">
        <f>+France!O6</f>
        <v>15452</v>
      </c>
      <c r="N30" s="194">
        <f>+France!P6</f>
        <v>15281</v>
      </c>
      <c r="O30" s="195">
        <f>+France!Q6</f>
        <v>12072</v>
      </c>
      <c r="P30" s="230">
        <f>France!R6</f>
        <v>11888</v>
      </c>
      <c r="Q30" s="194">
        <f>France!S6</f>
        <v>12733</v>
      </c>
      <c r="R30" s="194">
        <f>France!T6</f>
        <v>13636</v>
      </c>
      <c r="S30" s="194">
        <f>France!U6</f>
        <v>19257</v>
      </c>
      <c r="T30" s="194">
        <f>France!V6</f>
        <v>13925</v>
      </c>
      <c r="U30" s="194">
        <f>France!W6</f>
        <v>12404</v>
      </c>
      <c r="V30" s="194">
        <f>France!X6</f>
        <v>12550</v>
      </c>
      <c r="W30" s="194">
        <f>France!Y6</f>
        <v>2687</v>
      </c>
      <c r="X30" s="157">
        <f t="shared" si="0"/>
        <v>0.011770396646243242</v>
      </c>
    </row>
    <row r="31" spans="1:24" ht="12.75">
      <c r="A31" s="7" t="s">
        <v>122</v>
      </c>
      <c r="B31" s="6">
        <v>19991</v>
      </c>
      <c r="C31" s="6">
        <v>19737</v>
      </c>
      <c r="D31" s="6">
        <v>25021</v>
      </c>
      <c r="E31" s="6">
        <v>20716</v>
      </c>
      <c r="F31" s="6">
        <v>19491</v>
      </c>
      <c r="G31" s="6">
        <f>20669+84.5+132.5+50.8+140.2</f>
        <v>21077</v>
      </c>
      <c r="H31" s="190">
        <f>16717.6+92.6+76.3+393.6+105.2+52.7</f>
        <v>17437.999999999996</v>
      </c>
      <c r="I31" s="190"/>
      <c r="J31" s="190">
        <v>20085</v>
      </c>
      <c r="K31" s="191">
        <f>Suède!M6</f>
        <v>15275</v>
      </c>
      <c r="L31" s="190">
        <f>Suède!N6</f>
        <v>12667</v>
      </c>
      <c r="M31" s="190">
        <f>Suède!O6</f>
        <v>13950</v>
      </c>
      <c r="N31" s="190">
        <f>Suède!P6</f>
        <v>13778</v>
      </c>
      <c r="O31" s="191">
        <f>Suède!Q6</f>
        <v>12803</v>
      </c>
      <c r="P31" s="228">
        <f>Suède!R6</f>
        <v>14571</v>
      </c>
      <c r="Q31" s="190">
        <f>Suède!S6</f>
        <v>17487</v>
      </c>
      <c r="R31" s="190">
        <f>Suède!T6</f>
        <v>17093</v>
      </c>
      <c r="S31" s="190">
        <f>Suède!U6</f>
        <v>13860</v>
      </c>
      <c r="T31" s="190">
        <f>Suède!V6</f>
        <v>13414</v>
      </c>
      <c r="U31" s="190">
        <f>Suède!W6</f>
        <v>12884</v>
      </c>
      <c r="V31" s="190">
        <f>Suède!X6</f>
        <v>12716</v>
      </c>
      <c r="W31" s="190">
        <f>Suède!Y6</f>
        <v>0</v>
      </c>
      <c r="X31" s="157">
        <f t="shared" si="0"/>
        <v>-0.01303942874883579</v>
      </c>
    </row>
    <row r="32" spans="1:24" ht="12.75">
      <c r="A32" s="7" t="s">
        <v>116</v>
      </c>
      <c r="B32" s="6">
        <v>24808</v>
      </c>
      <c r="C32" s="6">
        <v>22217</v>
      </c>
      <c r="D32" s="6">
        <v>24715</v>
      </c>
      <c r="E32" s="6">
        <v>20922</v>
      </c>
      <c r="F32" s="6">
        <v>22648</v>
      </c>
      <c r="G32" s="6">
        <v>18546</v>
      </c>
      <c r="H32" s="190">
        <f>UK!J6</f>
        <v>19167.8</v>
      </c>
      <c r="I32" s="190">
        <f>UK!K6</f>
        <v>19631.5</v>
      </c>
      <c r="J32" s="197">
        <f>UK!L6</f>
        <v>17847.482352941177</v>
      </c>
      <c r="K32" s="191">
        <f>UK!M6</f>
        <v>15469</v>
      </c>
      <c r="L32" s="191"/>
      <c r="M32" s="191"/>
      <c r="N32" s="191">
        <f>UK!P6</f>
        <v>19483</v>
      </c>
      <c r="O32" s="191">
        <f>UK!Q6</f>
        <v>16996</v>
      </c>
      <c r="P32" s="228">
        <f>UK!R6</f>
        <v>16589</v>
      </c>
      <c r="Q32" s="190">
        <f>UK!S6</f>
        <v>20665</v>
      </c>
      <c r="R32" s="190">
        <f>UK!T6</f>
        <v>22856</v>
      </c>
      <c r="S32" s="190">
        <f>UK!U6</f>
        <v>19091.71</v>
      </c>
      <c r="T32" s="190">
        <f>UK!V6</f>
        <v>18348.22</v>
      </c>
      <c r="U32" s="190">
        <f>UK!W6</f>
        <v>17934</v>
      </c>
      <c r="V32" s="190">
        <f>UK!X6</f>
        <v>20248.759999999995</v>
      </c>
      <c r="W32" s="190">
        <f>UK!Y6</f>
        <v>20510</v>
      </c>
      <c r="X32" s="157">
        <f t="shared" si="0"/>
        <v>0.1290710382513658</v>
      </c>
    </row>
    <row r="33" ht="12.75">
      <c r="X33" s="290"/>
    </row>
    <row r="34" ht="12.75">
      <c r="X34" s="290"/>
    </row>
    <row r="35" spans="1:24" ht="15.75">
      <c r="A35" s="159" t="s">
        <v>124</v>
      </c>
      <c r="B35" s="60">
        <v>1997</v>
      </c>
      <c r="C35" s="60">
        <v>1998</v>
      </c>
      <c r="D35" s="60">
        <v>1999</v>
      </c>
      <c r="E35" s="60">
        <v>2000</v>
      </c>
      <c r="F35" s="60">
        <v>2001</v>
      </c>
      <c r="G35" s="60">
        <v>2002</v>
      </c>
      <c r="H35" s="178">
        <v>2003</v>
      </c>
      <c r="I35" s="178">
        <v>2004</v>
      </c>
      <c r="J35" s="178">
        <v>2005</v>
      </c>
      <c r="K35" s="179">
        <v>2006</v>
      </c>
      <c r="L35" s="178">
        <v>2007</v>
      </c>
      <c r="M35" s="180">
        <v>2008</v>
      </c>
      <c r="N35" s="178">
        <v>2009</v>
      </c>
      <c r="O35" s="178">
        <v>2010</v>
      </c>
      <c r="P35" s="225">
        <v>2011</v>
      </c>
      <c r="Q35" s="178">
        <v>2012</v>
      </c>
      <c r="R35" s="178">
        <v>2013</v>
      </c>
      <c r="S35" s="178">
        <v>2014</v>
      </c>
      <c r="T35" s="178">
        <v>2015</v>
      </c>
      <c r="U35" s="178">
        <v>2016</v>
      </c>
      <c r="V35" s="178">
        <v>2017</v>
      </c>
      <c r="W35" s="350" t="s">
        <v>204</v>
      </c>
      <c r="X35" s="178" t="s">
        <v>205</v>
      </c>
    </row>
    <row r="36" spans="1:24" ht="12.75">
      <c r="A36" s="38" t="s">
        <v>119</v>
      </c>
      <c r="B36" s="6">
        <v>256</v>
      </c>
      <c r="C36" s="6">
        <v>283</v>
      </c>
      <c r="D36" s="6">
        <v>225</v>
      </c>
      <c r="E36" s="6">
        <v>211</v>
      </c>
      <c r="F36" s="6">
        <v>230</v>
      </c>
      <c r="G36" s="6">
        <v>260</v>
      </c>
      <c r="H36" s="6">
        <f>Belgique!J9</f>
        <v>287</v>
      </c>
      <c r="I36" s="6">
        <f>Belgique!K9</f>
        <v>298</v>
      </c>
      <c r="J36" s="6">
        <f>Belgique!L9</f>
        <v>235</v>
      </c>
      <c r="K36" s="38">
        <f>Belgique!M9</f>
        <v>222</v>
      </c>
      <c r="L36" s="6">
        <f>Belgique!N9</f>
        <v>222</v>
      </c>
      <c r="M36" s="6">
        <f>Belgique!O9</f>
        <v>245</v>
      </c>
      <c r="N36" s="6">
        <f>Belgique!P9</f>
        <v>203</v>
      </c>
      <c r="O36" s="6">
        <f>Belgique!Q9</f>
        <v>216</v>
      </c>
      <c r="P36" s="65">
        <f>Belgique!R9</f>
        <v>180</v>
      </c>
      <c r="Q36" s="190">
        <f>Belgique!S9</f>
        <v>222.5</v>
      </c>
      <c r="R36" s="190">
        <f>Belgique!T9</f>
        <v>211.15</v>
      </c>
      <c r="S36" s="190">
        <f>Belgique!U9</f>
        <v>153</v>
      </c>
      <c r="T36" s="190">
        <f>Belgique!V9</f>
        <v>142</v>
      </c>
      <c r="U36" s="190">
        <f>Belgique!W9</f>
        <v>170</v>
      </c>
      <c r="V36" s="190">
        <f>Belgique!X9</f>
        <v>227</v>
      </c>
      <c r="W36" s="190">
        <f>Belgique!Y9</f>
        <v>176</v>
      </c>
      <c r="X36" s="157">
        <f t="shared" si="0"/>
        <v>0.33529411764705874</v>
      </c>
    </row>
    <row r="37" spans="1:24" ht="12.75">
      <c r="A37" s="38" t="s">
        <v>111</v>
      </c>
      <c r="B37" s="33">
        <v>14105</v>
      </c>
      <c r="C37" s="33">
        <v>14181</v>
      </c>
      <c r="D37" s="33">
        <v>13722</v>
      </c>
      <c r="E37" s="33">
        <v>14887</v>
      </c>
      <c r="F37" s="33">
        <v>17122</v>
      </c>
      <c r="G37" s="33">
        <v>18606</v>
      </c>
      <c r="H37" s="33">
        <f>Allemagne!J12+Allemagne!J11</f>
        <v>19185</v>
      </c>
      <c r="I37" s="33">
        <f>Allemagne!K12+Allemagne!K11</f>
        <v>19532</v>
      </c>
      <c r="J37" s="33">
        <f>Allemagne!L12+Allemagne!L11</f>
        <v>15080</v>
      </c>
      <c r="K37" s="33">
        <f>Allemagne!M12+Allemagne!M11</f>
        <v>13294</v>
      </c>
      <c r="L37" s="6">
        <f>Allemagne!N12+Allemagne!N11</f>
        <v>10965</v>
      </c>
      <c r="M37" s="6">
        <f>Allemagne!O12+Allemagne!O11</f>
        <v>10977</v>
      </c>
      <c r="N37" s="6">
        <f>Allemagne!P12+Allemagne!P11</f>
        <v>10465</v>
      </c>
      <c r="O37" s="6">
        <f>Allemagne!Q12+Allemagne!Q11</f>
        <v>10530</v>
      </c>
      <c r="P37" s="65">
        <f>Allemagne!R11+Allemagne!R12</f>
        <v>10622</v>
      </c>
      <c r="Q37" s="190">
        <f>Allemagne!S11+Allemagne!S12</f>
        <v>11033</v>
      </c>
      <c r="R37" s="190">
        <f>Allemagne!T11+Allemagne!T12</f>
        <v>11742</v>
      </c>
      <c r="S37" s="190">
        <f>Allemagne!U11+Allemagne!U12</f>
        <v>10298</v>
      </c>
      <c r="T37" s="190">
        <f>Allemagne!V11+Allemagne!V12</f>
        <v>10106</v>
      </c>
      <c r="U37" s="190">
        <f>Allemagne!W11+Allemagne!W12</f>
        <v>10301</v>
      </c>
      <c r="V37" s="190">
        <f>Allemagne!X11+Allemagne!X12</f>
        <v>11041</v>
      </c>
      <c r="W37" s="190">
        <f>Allemagne!Y11+Allemagne!Y12</f>
        <v>0</v>
      </c>
      <c r="X37" s="157">
        <f t="shared" si="0"/>
        <v>0.07183768566158633</v>
      </c>
    </row>
    <row r="38" spans="1:24" ht="12.75">
      <c r="A38" s="80" t="s">
        <v>112</v>
      </c>
      <c r="B38" s="83">
        <v>590</v>
      </c>
      <c r="C38" s="83">
        <v>1196</v>
      </c>
      <c r="D38" s="83">
        <v>2233</v>
      </c>
      <c r="E38" s="83">
        <v>1844</v>
      </c>
      <c r="F38" s="83">
        <v>2372</v>
      </c>
      <c r="G38" s="83">
        <v>1405</v>
      </c>
      <c r="H38" s="83">
        <f>Danemark!J10</f>
        <v>1455</v>
      </c>
      <c r="I38" s="83">
        <f>Danemark!K10</f>
        <v>1657</v>
      </c>
      <c r="J38" s="83">
        <f>Danemark!L10</f>
        <v>1795</v>
      </c>
      <c r="K38" s="80">
        <f>Danemark!M10</f>
        <v>1678</v>
      </c>
      <c r="L38" s="83">
        <f>Danemark!N10</f>
        <v>1582</v>
      </c>
      <c r="M38" s="83">
        <f>Danemark!O10</f>
        <v>1829</v>
      </c>
      <c r="N38" s="83">
        <f>Danemark!P10</f>
        <v>1674</v>
      </c>
      <c r="O38" s="83">
        <f>Danemark!Q10</f>
        <v>987</v>
      </c>
      <c r="P38" s="174">
        <f>Danemark!R10</f>
        <v>1448</v>
      </c>
      <c r="Q38" s="190">
        <f>Danemark!S10</f>
        <v>949</v>
      </c>
      <c r="R38" s="190">
        <f>Danemark!T10</f>
        <v>649</v>
      </c>
      <c r="S38" s="190">
        <f>Danemark!U10</f>
        <v>423</v>
      </c>
      <c r="T38" s="190">
        <f>Danemark!V10</f>
        <v>822</v>
      </c>
      <c r="U38" s="190">
        <f>Danemark!W10</f>
        <v>273</v>
      </c>
      <c r="V38" s="190">
        <f>Danemark!X10</f>
        <v>270</v>
      </c>
      <c r="W38" s="190">
        <f>Danemark!Y10</f>
        <v>0</v>
      </c>
      <c r="X38" s="157">
        <f t="shared" si="0"/>
        <v>-0.01098901098901095</v>
      </c>
    </row>
    <row r="39" spans="1:24" ht="12.75">
      <c r="A39" s="69" t="s">
        <v>108</v>
      </c>
      <c r="B39" s="72">
        <v>6227</v>
      </c>
      <c r="C39" s="72">
        <v>6773</v>
      </c>
      <c r="D39" s="72">
        <v>6015</v>
      </c>
      <c r="E39" s="72">
        <v>5957</v>
      </c>
      <c r="F39" s="72">
        <v>6779</v>
      </c>
      <c r="G39" s="72">
        <v>8209</v>
      </c>
      <c r="H39" s="72">
        <v>8367</v>
      </c>
      <c r="I39" s="72">
        <v>9520</v>
      </c>
      <c r="J39" s="72">
        <v>9221</v>
      </c>
      <c r="K39" s="103">
        <f>France!M11</f>
        <v>7715</v>
      </c>
      <c r="L39" s="72">
        <f>France!N11</f>
        <v>6776</v>
      </c>
      <c r="M39" s="72">
        <f>+France!O11</f>
        <v>7070</v>
      </c>
      <c r="N39" s="72">
        <f>+France!P11</f>
        <v>7477</v>
      </c>
      <c r="O39" s="72">
        <f>+France!Q11</f>
        <v>8773</v>
      </c>
      <c r="P39" s="226">
        <f>France!R11</f>
        <v>7769</v>
      </c>
      <c r="Q39" s="194">
        <f>France!S11</f>
        <v>8614</v>
      </c>
      <c r="R39" s="194">
        <f>France!T11</f>
        <v>8454</v>
      </c>
      <c r="S39" s="194">
        <f>France!U11</f>
        <v>9684</v>
      </c>
      <c r="T39" s="194">
        <f>France!V11</f>
        <v>9908</v>
      </c>
      <c r="U39" s="194">
        <f>France!W11</f>
        <v>8035</v>
      </c>
      <c r="V39" s="194">
        <f>France!X11</f>
        <v>7093</v>
      </c>
      <c r="W39" s="194">
        <f>France!Y11</f>
        <v>7062</v>
      </c>
      <c r="X39" s="157">
        <f t="shared" si="0"/>
        <v>-0.1172370877411325</v>
      </c>
    </row>
    <row r="40" spans="1:24" ht="12.75">
      <c r="A40" s="7" t="s">
        <v>122</v>
      </c>
      <c r="B40" s="6">
        <v>3155</v>
      </c>
      <c r="C40" s="6">
        <v>3141</v>
      </c>
      <c r="D40" s="6">
        <v>2328</v>
      </c>
      <c r="E40" s="6">
        <v>2574</v>
      </c>
      <c r="F40" s="6">
        <v>2629</v>
      </c>
      <c r="G40" s="6">
        <f>2134+150+23.8+30.6</f>
        <v>2338.4</v>
      </c>
      <c r="H40" s="6">
        <f>2469.7+146.3+129.5+45.2</f>
        <v>2790.7</v>
      </c>
      <c r="I40" s="6">
        <f>Suède!K10</f>
        <v>2430</v>
      </c>
      <c r="J40" s="6">
        <v>2915</v>
      </c>
      <c r="K40" s="38">
        <f>Suède!M10</f>
        <v>2563</v>
      </c>
      <c r="L40" s="6">
        <f>Suède!N10</f>
        <v>2867</v>
      </c>
      <c r="M40" s="6">
        <f>Suède!O10</f>
        <v>2538</v>
      </c>
      <c r="N40" s="6">
        <f>Suède!P10</f>
        <v>2610</v>
      </c>
      <c r="O40" s="6">
        <f>Suède!Q10</f>
        <v>1943</v>
      </c>
      <c r="P40" s="65">
        <f>Suède!R10</f>
        <v>1780</v>
      </c>
      <c r="Q40" s="192">
        <f>Suède!S10</f>
        <v>1939</v>
      </c>
      <c r="R40" s="192">
        <f>Suède!T10</f>
        <v>1886</v>
      </c>
      <c r="S40" s="192">
        <f>Suède!U10</f>
        <v>2387</v>
      </c>
      <c r="T40" s="192">
        <f>Suède!V10</f>
        <v>1940</v>
      </c>
      <c r="U40" s="192">
        <f>Suède!W10</f>
        <v>1412</v>
      </c>
      <c r="V40" s="192">
        <f>Suède!X10</f>
        <v>1143.7</v>
      </c>
      <c r="W40" s="192">
        <f>Suède!Y10</f>
        <v>0</v>
      </c>
      <c r="X40" s="157">
        <f t="shared" si="0"/>
        <v>-0.19001416430594897</v>
      </c>
    </row>
    <row r="41" spans="1:24" ht="12.75">
      <c r="A41" s="7" t="s">
        <v>115</v>
      </c>
      <c r="B41" s="6"/>
      <c r="C41" s="6">
        <v>40</v>
      </c>
      <c r="D41" s="6">
        <v>6</v>
      </c>
      <c r="E41" s="6">
        <v>13</v>
      </c>
      <c r="F41" s="6">
        <v>10</v>
      </c>
      <c r="G41" s="6"/>
      <c r="H41" s="6"/>
      <c r="I41" s="5"/>
      <c r="J41" s="5"/>
      <c r="K41" s="38"/>
      <c r="L41" s="6"/>
      <c r="M41" s="6"/>
      <c r="N41" s="6">
        <f>Finlande!P10</f>
        <v>0</v>
      </c>
      <c r="O41" s="6">
        <f>Finlande!Q10</f>
        <v>0</v>
      </c>
      <c r="P41" s="65">
        <f>Finlande!R10</f>
        <v>0</v>
      </c>
      <c r="Q41" s="192">
        <f>Finlande!S10</f>
        <v>0</v>
      </c>
      <c r="R41" s="192"/>
      <c r="S41" s="192"/>
      <c r="T41" s="192"/>
      <c r="U41" s="192"/>
      <c r="V41" s="192"/>
      <c r="W41" s="192"/>
      <c r="X41" s="157" t="e">
        <f t="shared" si="0"/>
        <v>#DIV/0!</v>
      </c>
    </row>
    <row r="42" spans="1:24" ht="12.75">
      <c r="A42" s="7" t="s">
        <v>116</v>
      </c>
      <c r="B42" s="6">
        <v>285</v>
      </c>
      <c r="C42" s="6">
        <v>500</v>
      </c>
      <c r="D42" s="6">
        <v>611</v>
      </c>
      <c r="E42" s="6">
        <v>613</v>
      </c>
      <c r="F42" s="6">
        <v>715</v>
      </c>
      <c r="G42" s="6">
        <v>707</v>
      </c>
      <c r="H42" s="6">
        <f>UK!J10</f>
        <v>706.1</v>
      </c>
      <c r="I42" s="6">
        <f>UK!K10</f>
        <v>755.8</v>
      </c>
      <c r="J42" s="95">
        <f>UK!L10</f>
        <v>947.8</v>
      </c>
      <c r="K42" s="7">
        <f>UK!M10</f>
        <v>1062</v>
      </c>
      <c r="L42" s="6">
        <v>0</v>
      </c>
      <c r="M42" s="6">
        <v>0</v>
      </c>
      <c r="N42" s="6">
        <f>UK!P10</f>
        <v>551</v>
      </c>
      <c r="O42" s="6">
        <v>0</v>
      </c>
      <c r="P42" s="65">
        <f>UK!R10</f>
        <v>444</v>
      </c>
      <c r="Q42" s="192">
        <f>UK!S10</f>
        <v>552</v>
      </c>
      <c r="R42" s="192">
        <f>UK!T10</f>
        <v>1000</v>
      </c>
      <c r="S42" s="192">
        <f>UK!U10</f>
        <v>664</v>
      </c>
      <c r="T42" s="192">
        <f>UK!V10</f>
        <v>663</v>
      </c>
      <c r="U42" s="192">
        <f>UK!W10</f>
        <v>494</v>
      </c>
      <c r="V42" s="192">
        <f>UK!X10</f>
        <v>240</v>
      </c>
      <c r="W42" s="192">
        <f>UK!Y10</f>
        <v>64.5</v>
      </c>
      <c r="X42" s="157">
        <f t="shared" si="0"/>
        <v>-0.51417004048583</v>
      </c>
    </row>
    <row r="43" ht="12.75">
      <c r="X43" s="290"/>
    </row>
    <row r="44" ht="12.75">
      <c r="X44" s="290"/>
    </row>
    <row r="45" spans="1:24" ht="15.75">
      <c r="A45" s="159" t="s">
        <v>125</v>
      </c>
      <c r="B45" s="60">
        <v>1997</v>
      </c>
      <c r="C45" s="60">
        <v>1998</v>
      </c>
      <c r="D45" s="60">
        <v>1999</v>
      </c>
      <c r="E45" s="60">
        <v>2000</v>
      </c>
      <c r="F45" s="60">
        <v>2001</v>
      </c>
      <c r="G45" s="60">
        <v>2002</v>
      </c>
      <c r="H45" s="178">
        <v>2003</v>
      </c>
      <c r="I45" s="178">
        <v>2004</v>
      </c>
      <c r="J45" s="178">
        <v>2005</v>
      </c>
      <c r="K45" s="179">
        <v>2006</v>
      </c>
      <c r="L45" s="178">
        <v>2007</v>
      </c>
      <c r="M45" s="180">
        <v>2008</v>
      </c>
      <c r="N45" s="178">
        <v>2009</v>
      </c>
      <c r="O45" s="178">
        <v>2010</v>
      </c>
      <c r="P45" s="225">
        <v>2011</v>
      </c>
      <c r="Q45" s="178">
        <v>2012</v>
      </c>
      <c r="R45" s="178">
        <v>2013</v>
      </c>
      <c r="S45" s="178">
        <v>2014</v>
      </c>
      <c r="T45" s="178">
        <v>2015</v>
      </c>
      <c r="U45" s="178">
        <v>2016</v>
      </c>
      <c r="V45" s="178">
        <v>2017</v>
      </c>
      <c r="W45" s="350" t="s">
        <v>204</v>
      </c>
      <c r="X45" s="178" t="s">
        <v>205</v>
      </c>
    </row>
    <row r="46" spans="1:24" ht="12.75">
      <c r="A46" s="38" t="s">
        <v>119</v>
      </c>
      <c r="B46" s="6">
        <v>164</v>
      </c>
      <c r="C46" s="6">
        <v>140</v>
      </c>
      <c r="D46" s="6">
        <v>106</v>
      </c>
      <c r="E46" s="6">
        <v>42</v>
      </c>
      <c r="F46" s="6">
        <v>37</v>
      </c>
      <c r="G46" s="6">
        <v>27</v>
      </c>
      <c r="H46" s="6">
        <f>Belgique!J8</f>
        <v>40</v>
      </c>
      <c r="I46" s="6">
        <f>Belgique!K8</f>
        <v>72</v>
      </c>
      <c r="J46" s="6">
        <f>Belgique!L8</f>
        <v>58.39</v>
      </c>
      <c r="K46" s="38">
        <f>Belgique!M8</f>
        <v>44</v>
      </c>
      <c r="L46" s="6">
        <f>Belgique!N8</f>
        <v>56</v>
      </c>
      <c r="M46" s="6">
        <f>Belgique!O8</f>
        <v>34</v>
      </c>
      <c r="N46" s="6">
        <f>Belgique!P8</f>
        <v>8</v>
      </c>
      <c r="O46" s="38">
        <f>Belgique!Q8</f>
        <v>16</v>
      </c>
      <c r="P46" s="65">
        <f>Belgique!R8</f>
        <v>15</v>
      </c>
      <c r="Q46" s="192">
        <f>Belgique!S8</f>
        <v>17</v>
      </c>
      <c r="R46" s="192">
        <f>Belgique!T8</f>
        <v>18</v>
      </c>
      <c r="S46" s="192">
        <f>Belgique!U8</f>
        <v>19</v>
      </c>
      <c r="T46" s="192">
        <f>Belgique!V8</f>
        <v>0</v>
      </c>
      <c r="U46" s="192">
        <f>Belgique!W8</f>
        <v>0</v>
      </c>
      <c r="V46" s="192">
        <f>Belgique!X8</f>
        <v>0</v>
      </c>
      <c r="W46" s="192">
        <f>Belgique!Y8</f>
        <v>44</v>
      </c>
      <c r="X46" s="157" t="e">
        <f t="shared" si="0"/>
        <v>#DIV/0!</v>
      </c>
    </row>
    <row r="47" spans="1:24" ht="12.75">
      <c r="A47" s="38" t="s">
        <v>111</v>
      </c>
      <c r="B47" s="33">
        <v>15426</v>
      </c>
      <c r="C47" s="33">
        <v>14889</v>
      </c>
      <c r="D47" s="33">
        <v>16145</v>
      </c>
      <c r="E47" s="33">
        <v>13957</v>
      </c>
      <c r="F47" s="33">
        <v>12803</v>
      </c>
      <c r="G47" s="33">
        <v>11856</v>
      </c>
      <c r="H47" s="33">
        <f>Allemagne!J10+Allemagne!J9</f>
        <v>9776</v>
      </c>
      <c r="I47" s="33">
        <f>Allemagne!K10+Allemagne!K9</f>
        <v>10213</v>
      </c>
      <c r="J47" s="33">
        <f>Allemagne!L10+Allemagne!L9</f>
        <v>8115</v>
      </c>
      <c r="K47" s="33">
        <f>Allemagne!M10+Allemagne!M9</f>
        <v>8822</v>
      </c>
      <c r="L47" s="6">
        <f>Allemagne!N10+Allemagne!N9</f>
        <v>9963</v>
      </c>
      <c r="M47" s="6">
        <f>Allemagne!O10+Allemagne!O9</f>
        <v>12336</v>
      </c>
      <c r="N47" s="6">
        <f>Allemagne!P10+Allemagne!P9</f>
        <v>13221</v>
      </c>
      <c r="O47" s="38">
        <f>Allemagne!Q10+Allemagne!Q9</f>
        <v>9533</v>
      </c>
      <c r="P47" s="65">
        <f>Allemagne!R10+Allemagne!R9</f>
        <v>11469</v>
      </c>
      <c r="Q47" s="192">
        <f>Allemagne!S9+Allemagne!S10</f>
        <v>13309</v>
      </c>
      <c r="R47" s="192">
        <f>Allemagne!T10+Allemagne!T9</f>
        <v>13586</v>
      </c>
      <c r="S47" s="192">
        <f>Allemagne!U10+Allemagne!U9</f>
        <v>11720</v>
      </c>
      <c r="T47" s="192">
        <f>Allemagne!V10+Allemagne!V9</f>
        <v>11893</v>
      </c>
      <c r="U47" s="192">
        <f>Allemagne!W10+Allemagne!W9</f>
        <v>9263</v>
      </c>
      <c r="V47" s="192">
        <f>Allemagne!X10+Allemagne!X9</f>
        <v>9577</v>
      </c>
      <c r="W47" s="192">
        <f>Allemagne!Y10+Allemagne!Y9</f>
        <v>0</v>
      </c>
      <c r="X47" s="157">
        <f t="shared" si="0"/>
        <v>0.03389830508474567</v>
      </c>
    </row>
    <row r="48" spans="1:24" ht="12.75">
      <c r="A48" s="80" t="s">
        <v>112</v>
      </c>
      <c r="B48" s="83">
        <v>2869</v>
      </c>
      <c r="C48" s="83">
        <v>3267</v>
      </c>
      <c r="D48" s="83">
        <v>2234</v>
      </c>
      <c r="E48" s="83">
        <v>2557</v>
      </c>
      <c r="F48" s="83">
        <v>2433</v>
      </c>
      <c r="G48" s="83">
        <v>2040</v>
      </c>
      <c r="H48" s="83">
        <f>Danemark!J9</f>
        <v>1683</v>
      </c>
      <c r="I48" s="83">
        <f>Danemark!K9</f>
        <v>1620</v>
      </c>
      <c r="J48" s="83">
        <f>Danemark!L9</f>
        <v>1104</v>
      </c>
      <c r="K48" s="80">
        <f>Danemark!M9</f>
        <v>851</v>
      </c>
      <c r="L48" s="80"/>
      <c r="M48" s="80">
        <f>Danemark!O9</f>
        <v>1417</v>
      </c>
      <c r="N48" s="80">
        <f>Danemark!P9</f>
        <v>1800</v>
      </c>
      <c r="O48" s="80">
        <f>Danemark!Q9</f>
        <v>1549</v>
      </c>
      <c r="P48" s="174">
        <f>Danemark!R9</f>
        <v>1351</v>
      </c>
      <c r="Q48" s="192">
        <f>Danemark!S9</f>
        <v>1609</v>
      </c>
      <c r="R48" s="192">
        <f>Danemark!T9</f>
        <v>2358</v>
      </c>
      <c r="S48" s="192">
        <f>Danemark!U9</f>
        <v>1996</v>
      </c>
      <c r="T48" s="192">
        <f>Danemark!V9</f>
        <v>2538</v>
      </c>
      <c r="U48" s="192">
        <f>Danemark!W9</f>
        <v>1756</v>
      </c>
      <c r="V48" s="192">
        <f>Danemark!X9</f>
        <v>1755</v>
      </c>
      <c r="W48" s="192">
        <f>Danemark!Y9</f>
        <v>0</v>
      </c>
      <c r="X48" s="157">
        <f t="shared" si="0"/>
        <v>-0.0005694760820045275</v>
      </c>
    </row>
    <row r="49" spans="1:24" ht="12.75">
      <c r="A49" s="69" t="s">
        <v>108</v>
      </c>
      <c r="B49" s="72">
        <v>1730</v>
      </c>
      <c r="C49" s="72">
        <v>1810</v>
      </c>
      <c r="D49" s="72">
        <v>1941</v>
      </c>
      <c r="E49" s="72">
        <v>1577</v>
      </c>
      <c r="F49" s="72">
        <v>1156</v>
      </c>
      <c r="G49" s="72">
        <v>1004</v>
      </c>
      <c r="H49" s="72">
        <f>France!J10</f>
        <v>833</v>
      </c>
      <c r="I49" s="72">
        <f>France!K10</f>
        <v>1150</v>
      </c>
      <c r="J49" s="72">
        <f>France!L10</f>
        <v>1609</v>
      </c>
      <c r="K49" s="103">
        <f>France!M10</f>
        <v>1420</v>
      </c>
      <c r="L49" s="72">
        <f>France!N10</f>
        <v>1914</v>
      </c>
      <c r="M49" s="72">
        <f>France!O10</f>
        <v>2352</v>
      </c>
      <c r="N49" s="72">
        <f>France!P10</f>
        <v>2237</v>
      </c>
      <c r="O49" s="103">
        <f>France!Q10</f>
        <v>1567</v>
      </c>
      <c r="P49" s="226">
        <f>France!R10</f>
        <v>1169</v>
      </c>
      <c r="Q49" s="192">
        <f>France!S10</f>
        <v>1881</v>
      </c>
      <c r="R49" s="192">
        <f>France!T10</f>
        <v>2791</v>
      </c>
      <c r="S49" s="192">
        <f>France!U10</f>
        <v>2746</v>
      </c>
      <c r="T49" s="192">
        <f>France!V10</f>
        <v>2649</v>
      </c>
      <c r="U49" s="192">
        <f>France!W10</f>
        <v>1945</v>
      </c>
      <c r="V49" s="192">
        <f>France!X10</f>
        <v>1874</v>
      </c>
      <c r="W49" s="192">
        <f>France!Y10</f>
        <v>1497</v>
      </c>
      <c r="X49" s="157">
        <f t="shared" si="0"/>
        <v>-0.036503856041131155</v>
      </c>
    </row>
    <row r="50" spans="1:24" ht="12.75">
      <c r="A50" s="7" t="s">
        <v>122</v>
      </c>
      <c r="B50" s="6">
        <v>1582</v>
      </c>
      <c r="C50" s="6">
        <v>1344</v>
      </c>
      <c r="D50" s="6">
        <v>1388</v>
      </c>
      <c r="E50" s="6">
        <v>1687</v>
      </c>
      <c r="F50" s="6">
        <v>1633</v>
      </c>
      <c r="G50" s="6">
        <f>1500+112.2+77.5</f>
        <v>1689.7</v>
      </c>
      <c r="H50" s="6">
        <f>Suède!J9</f>
        <v>1774.5</v>
      </c>
      <c r="I50" s="6">
        <f>Suède!K9</f>
        <v>1334</v>
      </c>
      <c r="J50" s="6">
        <f>Suède!L9</f>
        <v>1069</v>
      </c>
      <c r="K50" s="7">
        <f>Suède!M9</f>
        <v>941</v>
      </c>
      <c r="L50" s="6">
        <f>Suède!N9</f>
        <v>1372</v>
      </c>
      <c r="M50" s="6">
        <f>Suède!O9</f>
        <v>1247</v>
      </c>
      <c r="N50" s="6">
        <f>Suède!P9</f>
        <v>1450</v>
      </c>
      <c r="O50" s="38">
        <f>Suède!Q9</f>
        <v>859</v>
      </c>
      <c r="P50" s="65">
        <f>Suède!R9</f>
        <v>770</v>
      </c>
      <c r="Q50" s="192">
        <f>Suède!S9</f>
        <v>688</v>
      </c>
      <c r="R50" s="192">
        <f>Suède!T9</f>
        <v>439</v>
      </c>
      <c r="S50" s="192">
        <f>Suède!U9</f>
        <v>462</v>
      </c>
      <c r="T50" s="192">
        <f>Suède!V9</f>
        <v>262</v>
      </c>
      <c r="U50" s="192">
        <f>Suède!W9</f>
        <v>132</v>
      </c>
      <c r="V50" s="192">
        <f>Suède!X9</f>
        <v>202.7</v>
      </c>
      <c r="W50" s="192">
        <f>Suède!Y9</f>
        <v>0</v>
      </c>
      <c r="X50" s="157">
        <f t="shared" si="0"/>
        <v>0.5356060606060604</v>
      </c>
    </row>
    <row r="51" spans="1:24" ht="12.75">
      <c r="A51" s="7" t="s">
        <v>115</v>
      </c>
      <c r="B51" s="6">
        <v>278</v>
      </c>
      <c r="C51" s="6">
        <v>415</v>
      </c>
      <c r="D51" s="6">
        <v>203</v>
      </c>
      <c r="E51" s="6">
        <v>889</v>
      </c>
      <c r="F51" s="6">
        <v>511</v>
      </c>
      <c r="G51" s="6">
        <v>589</v>
      </c>
      <c r="H51" s="6">
        <f>Finlande!J9</f>
        <v>470</v>
      </c>
      <c r="I51" s="65">
        <f>Finlande!K9</f>
        <v>663</v>
      </c>
      <c r="J51" s="5">
        <f>Finlande!L9</f>
        <v>340</v>
      </c>
      <c r="K51" s="7">
        <f>Finlande!M9</f>
        <v>500</v>
      </c>
      <c r="L51" s="6">
        <f>Finlande!N9</f>
        <v>600</v>
      </c>
      <c r="M51" s="6">
        <f>Finlande!O9</f>
        <v>560</v>
      </c>
      <c r="N51" s="6">
        <f>Finlande!P9</f>
        <v>490</v>
      </c>
      <c r="O51" s="38">
        <f>Finlande!Q9</f>
        <v>610</v>
      </c>
      <c r="P51" s="65">
        <f>Finlande!R9</f>
        <v>428</v>
      </c>
      <c r="Q51" s="192">
        <f>Finlande!S9</f>
        <v>385</v>
      </c>
      <c r="R51" s="192">
        <f>Finlande!T9</f>
        <v>229.36</v>
      </c>
      <c r="S51" s="192">
        <f>Finlande!U9</f>
        <v>470</v>
      </c>
      <c r="T51" s="192">
        <f>Finlande!V9</f>
        <v>761</v>
      </c>
      <c r="U51" s="192">
        <f>Finlande!W9</f>
        <v>423</v>
      </c>
      <c r="V51" s="192">
        <f>Finlande!X9</f>
        <v>528</v>
      </c>
      <c r="W51" s="192">
        <f>Finlande!Y9</f>
        <v>150</v>
      </c>
      <c r="X51" s="157">
        <f t="shared" si="0"/>
        <v>0.24822695035460995</v>
      </c>
    </row>
    <row r="52" spans="1:24" ht="12.75">
      <c r="A52" s="7" t="s">
        <v>116</v>
      </c>
      <c r="B52" s="6">
        <v>617</v>
      </c>
      <c r="C52" s="6">
        <v>641</v>
      </c>
      <c r="D52" s="6">
        <v>549</v>
      </c>
      <c r="E52" s="6">
        <v>359</v>
      </c>
      <c r="F52" s="6">
        <v>214</v>
      </c>
      <c r="G52" s="6">
        <v>242</v>
      </c>
      <c r="H52" s="6">
        <f>UK!J9</f>
        <v>248.6</v>
      </c>
      <c r="I52" s="6">
        <f>UK!K9</f>
        <v>250</v>
      </c>
      <c r="J52" s="95">
        <f>UK!L9</f>
        <v>163.2</v>
      </c>
      <c r="K52" s="38">
        <f>UK!M9</f>
        <v>159.9</v>
      </c>
      <c r="L52" s="38"/>
      <c r="M52" s="38"/>
      <c r="N52" s="38">
        <f>UK!P9</f>
        <v>15</v>
      </c>
      <c r="O52" s="38"/>
      <c r="P52" s="65">
        <f>UK!R9</f>
        <v>145.7</v>
      </c>
      <c r="Q52" s="190">
        <f>UK!S9</f>
        <v>145.7</v>
      </c>
      <c r="R52" s="190">
        <f>UK!T9</f>
        <v>180</v>
      </c>
      <c r="S52" s="190">
        <f>UK!U9</f>
        <v>243</v>
      </c>
      <c r="T52" s="190">
        <f>UK!V9</f>
        <v>337</v>
      </c>
      <c r="U52" s="190">
        <f>UK!W9</f>
        <v>456.7</v>
      </c>
      <c r="V52" s="190">
        <f>UK!X9</f>
        <v>629.1</v>
      </c>
      <c r="W52" s="190">
        <f>UK!Y9</f>
        <v>655</v>
      </c>
      <c r="X52" s="157">
        <f t="shared" si="0"/>
        <v>0.377490694109919</v>
      </c>
    </row>
    <row r="53" ht="12.75">
      <c r="X53" s="290"/>
    </row>
    <row r="54" spans="1:24" ht="12.75">
      <c r="A54" s="162"/>
      <c r="X54" s="290"/>
    </row>
    <row r="55" spans="1:24" ht="15.75">
      <c r="A55" s="159" t="s">
        <v>126</v>
      </c>
      <c r="B55" s="60">
        <v>1997</v>
      </c>
      <c r="C55" s="60">
        <v>1998</v>
      </c>
      <c r="D55" s="60">
        <v>1999</v>
      </c>
      <c r="E55" s="60">
        <v>2000</v>
      </c>
      <c r="F55" s="60">
        <v>2001</v>
      </c>
      <c r="G55" s="60">
        <v>2002</v>
      </c>
      <c r="H55" s="178">
        <v>2003</v>
      </c>
      <c r="I55" s="178">
        <v>2004</v>
      </c>
      <c r="J55" s="178">
        <v>2005</v>
      </c>
      <c r="K55" s="179">
        <v>2006</v>
      </c>
      <c r="L55" s="178">
        <v>2007</v>
      </c>
      <c r="M55" s="180">
        <v>2008</v>
      </c>
      <c r="N55" s="178">
        <v>2009</v>
      </c>
      <c r="O55" s="178">
        <v>2010</v>
      </c>
      <c r="P55" s="225">
        <v>2011</v>
      </c>
      <c r="Q55" s="178">
        <v>2012</v>
      </c>
      <c r="R55" s="178">
        <v>2013</v>
      </c>
      <c r="S55" s="178">
        <v>2014</v>
      </c>
      <c r="T55" s="178">
        <v>2015</v>
      </c>
      <c r="U55" s="178">
        <v>2016</v>
      </c>
      <c r="V55" s="178">
        <v>2017</v>
      </c>
      <c r="W55" s="350" t="s">
        <v>204</v>
      </c>
      <c r="X55" s="178" t="s">
        <v>205</v>
      </c>
    </row>
    <row r="56" spans="1:24" s="67" customFormat="1" ht="12.75">
      <c r="A56" s="69" t="s">
        <v>108</v>
      </c>
      <c r="B56" s="72">
        <v>4549</v>
      </c>
      <c r="C56" s="72">
        <v>4711</v>
      </c>
      <c r="D56" s="72">
        <v>3392</v>
      </c>
      <c r="E56" s="72">
        <v>2971</v>
      </c>
      <c r="F56" s="72">
        <v>2824</v>
      </c>
      <c r="G56" s="72">
        <v>3076</v>
      </c>
      <c r="H56" s="72">
        <f>France!J47</f>
        <v>3848</v>
      </c>
      <c r="I56" s="72">
        <f>France!K47</f>
        <v>4873</v>
      </c>
      <c r="J56" s="72">
        <f>France!L47</f>
        <v>3158</v>
      </c>
      <c r="K56" s="103">
        <f>France!M47</f>
        <v>3750</v>
      </c>
      <c r="L56" s="72">
        <f>France!N47</f>
        <v>4776</v>
      </c>
      <c r="M56" s="72">
        <f>France!O47</f>
        <v>4904</v>
      </c>
      <c r="N56" s="72">
        <f>France!P47</f>
        <v>3289</v>
      </c>
      <c r="O56" s="72">
        <f>France!Q47</f>
        <v>3041</v>
      </c>
      <c r="P56" s="226">
        <f>France!R47</f>
        <v>4272</v>
      </c>
      <c r="Q56" s="194">
        <f>France!S47</f>
        <v>4164</v>
      </c>
      <c r="R56" s="194">
        <f>France!T47</f>
        <v>4313</v>
      </c>
      <c r="S56" s="194">
        <f>France!U47</f>
        <v>4333</v>
      </c>
      <c r="T56" s="194">
        <f>France!V47</f>
        <v>4191</v>
      </c>
      <c r="U56" s="194">
        <f>France!W47</f>
        <v>5170</v>
      </c>
      <c r="V56" s="194">
        <f>France!X47</f>
        <v>6632</v>
      </c>
      <c r="W56" s="194">
        <f>France!Y47</f>
        <v>0</v>
      </c>
      <c r="X56" s="157">
        <f t="shared" si="0"/>
        <v>0.2827852998065763</v>
      </c>
    </row>
    <row r="57" spans="1:24" ht="12.75">
      <c r="A57" s="7" t="s">
        <v>127</v>
      </c>
      <c r="B57" s="6">
        <v>4323</v>
      </c>
      <c r="C57" s="6">
        <v>4606</v>
      </c>
      <c r="D57" s="6">
        <v>3826</v>
      </c>
      <c r="E57" s="6">
        <v>2951</v>
      </c>
      <c r="F57" s="6">
        <v>2532</v>
      </c>
      <c r="G57" s="6">
        <v>2228</v>
      </c>
      <c r="H57" s="6">
        <f>Italie!J45</f>
        <v>3678</v>
      </c>
      <c r="I57" s="6">
        <f>Italie!K45</f>
        <v>3542</v>
      </c>
      <c r="J57" s="5">
        <f>Italie!L45</f>
        <v>2623</v>
      </c>
      <c r="K57" s="38">
        <f>Italie!M45</f>
        <v>2885.3</v>
      </c>
      <c r="L57" s="6">
        <f>Italie!N45</f>
        <v>3766.37</v>
      </c>
      <c r="M57" s="6">
        <f>Italie!O45</f>
        <v>3925</v>
      </c>
      <c r="N57" s="6">
        <f>Italie!P45</f>
        <v>2247.59</v>
      </c>
      <c r="O57" s="6">
        <f>Italie!Q45</f>
        <v>2183</v>
      </c>
      <c r="P57" s="65">
        <f>Italie!R45</f>
        <v>4395</v>
      </c>
      <c r="Q57" s="190">
        <f>Italie!S45</f>
        <v>3790</v>
      </c>
      <c r="R57" s="190">
        <f>Italie!T45</f>
        <v>2859</v>
      </c>
      <c r="S57" s="190">
        <f>Italie!U45</f>
        <v>3483</v>
      </c>
      <c r="T57" s="190">
        <f>Italie!V45</f>
        <v>3149</v>
      </c>
      <c r="U57" s="190">
        <f>Italie!W45</f>
        <v>4020</v>
      </c>
      <c r="V57" s="190">
        <f>Italie!X45</f>
        <v>5559</v>
      </c>
      <c r="W57" s="190">
        <f>Italie!Y45</f>
        <v>0</v>
      </c>
      <c r="X57" s="157">
        <f t="shared" si="0"/>
        <v>0.3828358208955225</v>
      </c>
    </row>
    <row r="58" ht="12.75">
      <c r="X58" s="290"/>
    </row>
    <row r="59" ht="12.75">
      <c r="X59" s="290"/>
    </row>
    <row r="60" spans="1:24" ht="15.75">
      <c r="A60" s="159" t="s">
        <v>140</v>
      </c>
      <c r="B60" s="60">
        <v>1997</v>
      </c>
      <c r="C60" s="60">
        <v>1998</v>
      </c>
      <c r="D60" s="60">
        <v>1999</v>
      </c>
      <c r="E60" s="60">
        <v>2000</v>
      </c>
      <c r="F60" s="60">
        <v>2001</v>
      </c>
      <c r="G60" s="60">
        <v>2002</v>
      </c>
      <c r="H60" s="178">
        <v>2003</v>
      </c>
      <c r="I60" s="178">
        <v>2004</v>
      </c>
      <c r="J60" s="178">
        <v>2005</v>
      </c>
      <c r="K60" s="179">
        <v>2006</v>
      </c>
      <c r="L60" s="178">
        <v>2007</v>
      </c>
      <c r="M60" s="180">
        <v>2008</v>
      </c>
      <c r="N60" s="178">
        <v>2009</v>
      </c>
      <c r="O60" s="178">
        <v>2010</v>
      </c>
      <c r="P60" s="225">
        <v>2011</v>
      </c>
      <c r="Q60" s="178">
        <v>2012</v>
      </c>
      <c r="R60" s="178">
        <v>2013</v>
      </c>
      <c r="S60" s="178">
        <v>2014</v>
      </c>
      <c r="T60" s="178">
        <v>2015</v>
      </c>
      <c r="U60" s="178">
        <v>2016</v>
      </c>
      <c r="V60" s="178">
        <v>2017</v>
      </c>
      <c r="W60" s="350" t="s">
        <v>204</v>
      </c>
      <c r="X60" s="178" t="s">
        <v>205</v>
      </c>
    </row>
    <row r="61" spans="1:24" s="67" customFormat="1" ht="12.75">
      <c r="A61" s="69" t="s">
        <v>108</v>
      </c>
      <c r="B61" s="72">
        <v>10614</v>
      </c>
      <c r="C61" s="72">
        <v>11620</v>
      </c>
      <c r="D61" s="72">
        <v>12834</v>
      </c>
      <c r="E61" s="72">
        <v>12025</v>
      </c>
      <c r="F61" s="72">
        <v>11645</v>
      </c>
      <c r="G61" s="72">
        <v>11664</v>
      </c>
      <c r="H61" s="72">
        <f>France!J46</f>
        <v>13282</v>
      </c>
      <c r="I61" s="72">
        <f>France!K46</f>
        <v>14414</v>
      </c>
      <c r="J61" s="72">
        <f>France!L46</f>
        <v>15357</v>
      </c>
      <c r="K61" s="103">
        <f>France!M46</f>
        <v>16036</v>
      </c>
      <c r="L61" s="72">
        <f>France!N46</f>
        <v>14627</v>
      </c>
      <c r="M61" s="72">
        <f>France!O46</f>
        <v>12981</v>
      </c>
      <c r="N61" s="72">
        <f>France!P46</f>
        <v>16381</v>
      </c>
      <c r="O61" s="72">
        <f>France!Q46</f>
        <v>18479</v>
      </c>
      <c r="P61" s="226">
        <f>France!R46</f>
        <v>18370</v>
      </c>
      <c r="Q61" s="194">
        <f>France!S46</f>
        <v>18579</v>
      </c>
      <c r="R61" s="194">
        <f>France!T46</f>
        <v>19236</v>
      </c>
      <c r="S61" s="194">
        <f>France!U46</f>
        <v>20643</v>
      </c>
      <c r="T61" s="194">
        <f>France!V46</f>
        <v>22319</v>
      </c>
      <c r="U61" s="194">
        <f>France!W46</f>
        <v>24145</v>
      </c>
      <c r="V61" s="194">
        <f>France!X46</f>
        <v>24863</v>
      </c>
      <c r="W61" s="194">
        <f>France!Y46</f>
        <v>4847</v>
      </c>
      <c r="X61" s="157">
        <f t="shared" si="0"/>
        <v>0.029737005591219612</v>
      </c>
    </row>
    <row r="62" spans="1:24" ht="12.75">
      <c r="A62" s="7" t="s">
        <v>113</v>
      </c>
      <c r="B62" s="6" t="s">
        <v>64</v>
      </c>
      <c r="C62" s="6">
        <v>7500</v>
      </c>
      <c r="D62" s="6">
        <v>10800</v>
      </c>
      <c r="E62" s="6">
        <v>10272</v>
      </c>
      <c r="F62" s="6">
        <v>10600</v>
      </c>
      <c r="G62" s="6">
        <v>11112</v>
      </c>
      <c r="H62" s="6">
        <f>Italie!J44</f>
        <v>10790</v>
      </c>
      <c r="I62" s="6">
        <f>Italie!K44</f>
        <v>10197</v>
      </c>
      <c r="J62" s="5">
        <f>Italie!L44</f>
        <v>11250</v>
      </c>
      <c r="K62" s="38">
        <f>Italie!M44</f>
        <v>8176</v>
      </c>
      <c r="L62" s="6">
        <f>Italie!N44</f>
        <v>10197</v>
      </c>
      <c r="M62" s="6">
        <f>Italie!O44</f>
        <v>14024</v>
      </c>
      <c r="N62" s="6">
        <f>Italie!P44</f>
        <v>13500</v>
      </c>
      <c r="O62" s="6">
        <f>Italie!Q44</f>
        <v>19374</v>
      </c>
      <c r="P62" s="65">
        <f>Italie!R44</f>
        <v>19479</v>
      </c>
      <c r="Q62" s="190">
        <f>Italie!S44</f>
        <v>18872</v>
      </c>
      <c r="R62" s="190">
        <f>Italie!T44</f>
        <v>19500</v>
      </c>
      <c r="S62" s="190">
        <f>Italie!U44</f>
        <v>26000</v>
      </c>
      <c r="T62" s="190">
        <f>Italie!V44</f>
        <v>32950</v>
      </c>
      <c r="U62" s="190">
        <f>Italie!W44</f>
        <v>37700</v>
      </c>
      <c r="V62" s="190">
        <f>Italie!X44</f>
        <v>20683</v>
      </c>
      <c r="W62" s="190">
        <f>Italie!Y44</f>
        <v>0</v>
      </c>
      <c r="X62" s="157">
        <f t="shared" si="0"/>
        <v>-0.4513793103448276</v>
      </c>
    </row>
    <row r="63" spans="1:24" s="84" customFormat="1" ht="12.75">
      <c r="A63" s="80" t="s">
        <v>112</v>
      </c>
      <c r="B63" s="83">
        <v>3456</v>
      </c>
      <c r="C63" s="83">
        <v>3336</v>
      </c>
      <c r="D63" s="83">
        <v>4210</v>
      </c>
      <c r="E63" s="83">
        <v>4391</v>
      </c>
      <c r="F63" s="83">
        <v>4430</v>
      </c>
      <c r="G63" s="83">
        <v>4192</v>
      </c>
      <c r="H63" s="83">
        <f>Danemark!J44</f>
        <v>4776</v>
      </c>
      <c r="I63" s="83">
        <f>Danemark!K44</f>
        <v>4835</v>
      </c>
      <c r="J63" s="83">
        <f>Danemark!L44</f>
        <v>5475</v>
      </c>
      <c r="K63" s="80">
        <f>Danemark!M44</f>
        <v>6569</v>
      </c>
      <c r="L63" s="83">
        <f>Danemark!N44</f>
        <v>6875</v>
      </c>
      <c r="M63" s="83">
        <f>Danemark!O44</f>
        <v>6490</v>
      </c>
      <c r="N63" s="83">
        <f>Danemark!P44</f>
        <v>6552</v>
      </c>
      <c r="O63" s="83">
        <f>Danemark!Q44</f>
        <v>4406</v>
      </c>
      <c r="P63" s="174">
        <f>Danemark!R44</f>
        <v>5741</v>
      </c>
      <c r="Q63" s="192">
        <f>Danemark!S44</f>
        <v>5900</v>
      </c>
      <c r="R63" s="192">
        <f>Danemark!T44</f>
        <v>6950</v>
      </c>
      <c r="S63" s="192">
        <f>Danemark!U44</f>
        <v>6657</v>
      </c>
      <c r="T63" s="192">
        <f>Danemark!V44</f>
        <v>5650</v>
      </c>
      <c r="U63" s="192">
        <f>Danemark!W44</f>
        <v>7222</v>
      </c>
      <c r="V63" s="192">
        <f>Danemark!X44</f>
        <v>10209</v>
      </c>
      <c r="W63" s="192">
        <f>Danemark!Y44</f>
        <v>0</v>
      </c>
      <c r="X63" s="157">
        <f t="shared" si="0"/>
        <v>0.4135973414566603</v>
      </c>
    </row>
    <row r="64" ht="12.75">
      <c r="X64" s="290"/>
    </row>
    <row r="65" ht="12.75">
      <c r="X65" s="290"/>
    </row>
    <row r="66" spans="1:24" ht="15.75">
      <c r="A66" s="160" t="s">
        <v>128</v>
      </c>
      <c r="B66" s="60">
        <v>1997</v>
      </c>
      <c r="C66" s="60">
        <v>1998</v>
      </c>
      <c r="D66" s="60">
        <v>1999</v>
      </c>
      <c r="E66" s="60">
        <v>2000</v>
      </c>
      <c r="F66" s="60">
        <v>2001</v>
      </c>
      <c r="G66" s="60">
        <v>2002</v>
      </c>
      <c r="H66" s="178">
        <v>2003</v>
      </c>
      <c r="I66" s="178">
        <v>2004</v>
      </c>
      <c r="J66" s="178">
        <v>2005</v>
      </c>
      <c r="K66" s="179">
        <v>2006</v>
      </c>
      <c r="L66" s="178">
        <v>2007</v>
      </c>
      <c r="M66" s="180">
        <v>2008</v>
      </c>
      <c r="N66" s="178">
        <v>2009</v>
      </c>
      <c r="O66" s="178">
        <v>2010</v>
      </c>
      <c r="P66" s="225">
        <v>2011</v>
      </c>
      <c r="Q66" s="178">
        <v>2012</v>
      </c>
      <c r="R66" s="178">
        <v>2013</v>
      </c>
      <c r="S66" s="178">
        <v>2014</v>
      </c>
      <c r="T66" s="178">
        <v>2015</v>
      </c>
      <c r="U66" s="178">
        <v>2016</v>
      </c>
      <c r="V66" s="178">
        <v>2017</v>
      </c>
      <c r="W66" s="350" t="s">
        <v>204</v>
      </c>
      <c r="X66" s="178" t="s">
        <v>205</v>
      </c>
    </row>
    <row r="67" spans="1:24" ht="12.75">
      <c r="A67" s="38" t="s">
        <v>111</v>
      </c>
      <c r="B67" s="20">
        <v>303</v>
      </c>
      <c r="C67" s="20">
        <v>260</v>
      </c>
      <c r="D67" s="20">
        <v>144</v>
      </c>
      <c r="E67" s="20">
        <v>121</v>
      </c>
      <c r="F67" s="20">
        <v>109</v>
      </c>
      <c r="G67" s="20">
        <v>121</v>
      </c>
      <c r="H67" s="20">
        <f>Allemagne!J17</f>
        <v>134</v>
      </c>
      <c r="I67" s="90">
        <f>Allemagne!K17</f>
        <v>177</v>
      </c>
      <c r="J67" s="6">
        <f>Allemagne!L17</f>
        <v>248</v>
      </c>
      <c r="K67" s="45">
        <f>Allemagne!M17</f>
        <v>353</v>
      </c>
      <c r="L67" s="20">
        <f>Allemagne!N17</f>
        <v>576</v>
      </c>
      <c r="M67" s="20">
        <f>Allemagne!O17</f>
        <v>570</v>
      </c>
      <c r="N67" s="20">
        <f>Allemagne!P17</f>
        <v>339</v>
      </c>
      <c r="O67" s="20">
        <f>Allemagne!Q17</f>
        <v>382</v>
      </c>
      <c r="P67" s="175">
        <f>Allemagne!R17</f>
        <v>214</v>
      </c>
      <c r="Q67" s="190">
        <f>Allemagne!S17</f>
        <v>130</v>
      </c>
      <c r="R67" s="190">
        <f>Allemagne!T17</f>
        <v>170</v>
      </c>
      <c r="S67" s="190">
        <f>Allemagne!U17</f>
        <v>138</v>
      </c>
      <c r="T67" s="190">
        <f>Allemagne!V17</f>
        <v>148</v>
      </c>
      <c r="U67" s="190">
        <f>Allemagne!W17</f>
        <v>179</v>
      </c>
      <c r="V67" s="190">
        <f>Allemagne!X17</f>
        <v>222</v>
      </c>
      <c r="W67" s="190">
        <f>Allemagne!Y17</f>
        <v>0</v>
      </c>
      <c r="X67" s="157">
        <f aca="true" t="shared" si="1" ref="X67:X130">V67/U67-1</f>
        <v>0.24022346368715075</v>
      </c>
    </row>
    <row r="68" spans="1:24" ht="12.75">
      <c r="A68" s="80" t="s">
        <v>112</v>
      </c>
      <c r="B68" s="83">
        <v>2448</v>
      </c>
      <c r="C68" s="83">
        <v>2494</v>
      </c>
      <c r="D68" s="83">
        <v>2658</v>
      </c>
      <c r="E68" s="83">
        <v>3020</v>
      </c>
      <c r="F68" s="83">
        <v>2923</v>
      </c>
      <c r="G68" s="83">
        <v>3619</v>
      </c>
      <c r="H68" s="83">
        <f>Danemark!J17</f>
        <v>3769</v>
      </c>
      <c r="I68" s="83">
        <f>Danemark!K17</f>
        <v>3491</v>
      </c>
      <c r="J68" s="83">
        <f>Danemark!L17</f>
        <v>2662</v>
      </c>
      <c r="K68" s="80">
        <f>Danemark!M17</f>
        <v>2116</v>
      </c>
      <c r="L68" s="83">
        <f>Danemark!N17</f>
        <v>3255</v>
      </c>
      <c r="M68" s="83">
        <f>Danemark!O17</f>
        <v>4563</v>
      </c>
      <c r="N68" s="83">
        <f>Danemark!P17</f>
        <v>5312</v>
      </c>
      <c r="O68" s="83">
        <f>Danemark!Q17</f>
        <v>2645</v>
      </c>
      <c r="P68" s="174">
        <f>Danemark!R17</f>
        <v>1207</v>
      </c>
      <c r="Q68" s="192">
        <f>Danemark!S17</f>
        <v>953</v>
      </c>
      <c r="R68" s="192">
        <f>Danemark!T17</f>
        <v>1408</v>
      </c>
      <c r="S68" s="192">
        <f>Danemark!U17</f>
        <v>2098</v>
      </c>
      <c r="T68" s="192">
        <f>Danemark!V17</f>
        <v>2815</v>
      </c>
      <c r="U68" s="192">
        <f>Danemark!W17</f>
        <v>4262</v>
      </c>
      <c r="V68" s="192">
        <f>Danemark!X17</f>
        <v>4898</v>
      </c>
      <c r="W68" s="192">
        <f>Danemark!Y17</f>
        <v>0</v>
      </c>
      <c r="X68" s="157">
        <f t="shared" si="1"/>
        <v>0.14922571562646647</v>
      </c>
    </row>
    <row r="69" spans="1:24" ht="12.75">
      <c r="A69" s="69" t="s">
        <v>108</v>
      </c>
      <c r="B69" s="72">
        <v>1920</v>
      </c>
      <c r="C69" s="72">
        <v>2264</v>
      </c>
      <c r="D69" s="72">
        <v>2935</v>
      </c>
      <c r="E69" s="72">
        <v>3495</v>
      </c>
      <c r="F69" s="72">
        <v>3365</v>
      </c>
      <c r="G69" s="72">
        <v>2462</v>
      </c>
      <c r="H69" s="72">
        <f>France!J18</f>
        <v>1921</v>
      </c>
      <c r="I69" s="72">
        <f>France!K18</f>
        <v>2158</v>
      </c>
      <c r="J69" s="72">
        <f>France!L18</f>
        <v>2875</v>
      </c>
      <c r="K69" s="103">
        <f>France!M18</f>
        <v>3240</v>
      </c>
      <c r="L69" s="72">
        <f>France!N18</f>
        <v>3720</v>
      </c>
      <c r="M69" s="72">
        <f>France!O18</f>
        <v>3929</v>
      </c>
      <c r="N69" s="72">
        <f>France!P18</f>
        <v>3691</v>
      </c>
      <c r="O69" s="72">
        <f>France!Q18</f>
        <v>1335</v>
      </c>
      <c r="P69" s="226">
        <f>France!R18</f>
        <v>1099</v>
      </c>
      <c r="Q69" s="194">
        <f>France!S18</f>
        <v>1699</v>
      </c>
      <c r="R69" s="194">
        <f>France!T18</f>
        <v>2027</v>
      </c>
      <c r="S69" s="194">
        <f>France!U18</f>
        <v>2052</v>
      </c>
      <c r="T69" s="194">
        <f>France!V18</f>
        <v>1641</v>
      </c>
      <c r="U69" s="194">
        <f>France!W18</f>
        <v>1745</v>
      </c>
      <c r="V69" s="194">
        <f>France!X18</f>
        <v>1883</v>
      </c>
      <c r="W69" s="194">
        <f>France!Y18</f>
        <v>2203</v>
      </c>
      <c r="X69" s="157">
        <f t="shared" si="1"/>
        <v>0.07908309455587403</v>
      </c>
    </row>
    <row r="70" spans="1:24" ht="12.75">
      <c r="A70" s="17" t="s">
        <v>113</v>
      </c>
      <c r="B70" s="20">
        <v>115</v>
      </c>
      <c r="C70" s="20">
        <v>112</v>
      </c>
      <c r="D70" s="20">
        <v>93</v>
      </c>
      <c r="E70" s="20">
        <v>22</v>
      </c>
      <c r="F70" s="20">
        <v>8</v>
      </c>
      <c r="G70" s="20">
        <v>34</v>
      </c>
      <c r="H70" s="20">
        <f>Italie!J16</f>
        <v>28.97</v>
      </c>
      <c r="I70" s="20">
        <f>Italie!K16</f>
        <v>27</v>
      </c>
      <c r="J70" s="22">
        <f>Italie!L16</f>
        <v>49</v>
      </c>
      <c r="K70" s="106">
        <f>Italie!M16</f>
        <v>53.900000000000006</v>
      </c>
      <c r="L70" s="98">
        <f>Italie!N16</f>
        <v>37.05</v>
      </c>
      <c r="M70" s="98">
        <f>Italie!O16</f>
        <v>20</v>
      </c>
      <c r="N70" s="98">
        <f>Italie!P16</f>
        <v>1.01</v>
      </c>
      <c r="O70" s="98"/>
      <c r="P70" s="231">
        <f>Italie!R16</f>
        <v>10</v>
      </c>
      <c r="Q70" s="231">
        <f>Italie!S16</f>
        <v>0</v>
      </c>
      <c r="R70" s="231">
        <f>Italie!T16</f>
        <v>0</v>
      </c>
      <c r="S70" s="231">
        <f>Italie!U16</f>
        <v>0</v>
      </c>
      <c r="T70" s="231">
        <f>Italie!V16</f>
        <v>0</v>
      </c>
      <c r="U70" s="231">
        <f>Italie!W16</f>
        <v>0</v>
      </c>
      <c r="V70" s="231">
        <f>Italie!X16</f>
        <v>0</v>
      </c>
      <c r="W70" s="231">
        <f>Italie!Y16</f>
        <v>0</v>
      </c>
      <c r="X70" s="157" t="e">
        <f t="shared" si="1"/>
        <v>#DIV/0!</v>
      </c>
    </row>
    <row r="71" spans="1:24" ht="12.75">
      <c r="A71" s="7" t="s">
        <v>122</v>
      </c>
      <c r="B71" s="6">
        <v>110</v>
      </c>
      <c r="C71" s="6">
        <v>140</v>
      </c>
      <c r="D71" s="6">
        <v>113</v>
      </c>
      <c r="E71" s="6">
        <v>117</v>
      </c>
      <c r="F71" s="6">
        <v>87</v>
      </c>
      <c r="G71" s="6">
        <v>118</v>
      </c>
      <c r="H71" s="6">
        <f>Suède!J17</f>
        <v>116</v>
      </c>
      <c r="I71" s="6">
        <f>Suède!K17</f>
        <v>118</v>
      </c>
      <c r="J71" s="5">
        <f>Suède!L17</f>
        <v>104</v>
      </c>
      <c r="K71" s="105">
        <f>Suède!M17</f>
        <v>57</v>
      </c>
      <c r="L71" s="65">
        <f>Suède!N17</f>
        <v>35</v>
      </c>
      <c r="M71" s="65">
        <f>Suède!O17</f>
        <v>131</v>
      </c>
      <c r="N71" s="65">
        <f>Suède!P17</f>
        <v>166</v>
      </c>
      <c r="O71" s="65">
        <f>Suède!Q17</f>
        <v>183</v>
      </c>
      <c r="P71" s="65">
        <f>Suède!R17</f>
        <v>118</v>
      </c>
      <c r="Q71" s="228">
        <f>Suède!S17</f>
        <v>148</v>
      </c>
      <c r="R71" s="228">
        <f>Suède!T17</f>
        <v>159</v>
      </c>
      <c r="S71" s="228">
        <f>Suède!U17</f>
        <v>135</v>
      </c>
      <c r="T71" s="228">
        <f>Suède!V17</f>
        <v>127</v>
      </c>
      <c r="U71" s="228">
        <f>Suède!W17</f>
        <v>235.8</v>
      </c>
      <c r="V71" s="228">
        <f>Suède!X17</f>
        <v>333.4</v>
      </c>
      <c r="W71" s="228">
        <f>Suède!Y17</f>
        <v>459</v>
      </c>
      <c r="X71" s="157">
        <f t="shared" si="1"/>
        <v>0.4139100932994062</v>
      </c>
    </row>
    <row r="72" spans="1:24" ht="12.75">
      <c r="A72" s="7" t="s">
        <v>116</v>
      </c>
      <c r="B72" s="6">
        <v>138</v>
      </c>
      <c r="C72" s="6">
        <v>132</v>
      </c>
      <c r="D72" s="6">
        <v>127</v>
      </c>
      <c r="E72" s="6">
        <v>141</v>
      </c>
      <c r="F72" s="6">
        <v>152</v>
      </c>
      <c r="G72" s="6">
        <v>163</v>
      </c>
      <c r="H72" s="6">
        <f>UK!J17</f>
        <v>139</v>
      </c>
      <c r="I72" s="6">
        <f>UK!K17</f>
        <v>155</v>
      </c>
      <c r="J72" s="95">
        <f>UK!L17</f>
        <v>211.8</v>
      </c>
      <c r="K72" s="38">
        <f>UK!M17</f>
        <v>272</v>
      </c>
      <c r="L72" s="6">
        <f>UK!N17</f>
        <v>329</v>
      </c>
      <c r="M72" s="6">
        <f>UK!O17</f>
        <v>300.2</v>
      </c>
      <c r="N72" s="6">
        <f>UK!P17</f>
        <v>279</v>
      </c>
      <c r="O72" s="6">
        <f>UK!Q17</f>
        <v>184</v>
      </c>
      <c r="P72" s="65">
        <f>UK!R17</f>
        <v>120</v>
      </c>
      <c r="Q72" s="190">
        <f>UK!S17</f>
        <v>100</v>
      </c>
      <c r="R72" s="190">
        <f>UK!T17</f>
        <v>90</v>
      </c>
      <c r="S72" s="190">
        <f>UK!U17</f>
        <v>30.4</v>
      </c>
      <c r="T72" s="190">
        <f>UK!V17</f>
        <v>40.6</v>
      </c>
      <c r="U72" s="190">
        <f>UK!W17</f>
        <v>42.3</v>
      </c>
      <c r="V72" s="190">
        <f>UK!X17</f>
        <v>97.5</v>
      </c>
      <c r="W72" s="190">
        <f>UK!Y17</f>
        <v>55.2</v>
      </c>
      <c r="X72" s="157">
        <f t="shared" si="1"/>
        <v>1.3049645390070923</v>
      </c>
    </row>
    <row r="73" spans="1:24" ht="12.75">
      <c r="A73" s="29"/>
      <c r="B73" s="99"/>
      <c r="C73" s="99"/>
      <c r="D73" s="99"/>
      <c r="E73" s="99"/>
      <c r="F73" s="99"/>
      <c r="G73" s="99"/>
      <c r="H73" s="99"/>
      <c r="I73" s="99"/>
      <c r="J73" s="100"/>
      <c r="K73" s="99"/>
      <c r="L73" s="99"/>
      <c r="M73" s="99"/>
      <c r="N73" s="99"/>
      <c r="O73" s="99"/>
      <c r="P73" s="221"/>
      <c r="Q73" s="246"/>
      <c r="R73" s="224"/>
      <c r="S73" s="246"/>
      <c r="T73" s="294"/>
      <c r="U73" s="294"/>
      <c r="V73" s="294"/>
      <c r="W73" s="352"/>
      <c r="X73" s="294"/>
    </row>
    <row r="74" spans="1:24" ht="12.75">
      <c r="A74" s="29"/>
      <c r="B74" s="99"/>
      <c r="C74" s="99"/>
      <c r="D74" s="99"/>
      <c r="E74" s="99"/>
      <c r="F74" s="99"/>
      <c r="G74" s="99"/>
      <c r="H74" s="99"/>
      <c r="I74" s="99"/>
      <c r="J74" s="100"/>
      <c r="K74" s="99"/>
      <c r="L74" s="99"/>
      <c r="M74" s="99"/>
      <c r="N74" s="99"/>
      <c r="O74" s="99"/>
      <c r="P74" s="221"/>
      <c r="Q74" s="246"/>
      <c r="R74" s="224"/>
      <c r="S74" s="246"/>
      <c r="T74" s="294"/>
      <c r="U74" s="294"/>
      <c r="V74" s="294"/>
      <c r="W74" s="352"/>
      <c r="X74" s="294"/>
    </row>
    <row r="75" ht="12.75">
      <c r="X75" s="290"/>
    </row>
    <row r="76" spans="1:24" ht="15.75">
      <c r="A76" s="159" t="s">
        <v>11</v>
      </c>
      <c r="B76" s="60">
        <v>1997</v>
      </c>
      <c r="C76" s="60">
        <v>1998</v>
      </c>
      <c r="D76" s="60">
        <v>1999</v>
      </c>
      <c r="E76" s="60">
        <v>2000</v>
      </c>
      <c r="F76" s="60">
        <v>2001</v>
      </c>
      <c r="G76" s="60">
        <v>2002</v>
      </c>
      <c r="H76" s="178">
        <v>2003</v>
      </c>
      <c r="I76" s="178">
        <v>2004</v>
      </c>
      <c r="J76" s="178">
        <v>2005</v>
      </c>
      <c r="K76" s="179">
        <v>2006</v>
      </c>
      <c r="L76" s="178">
        <v>2007</v>
      </c>
      <c r="M76" s="180">
        <v>2008</v>
      </c>
      <c r="N76" s="178">
        <v>2009</v>
      </c>
      <c r="O76" s="178">
        <v>2010</v>
      </c>
      <c r="P76" s="225">
        <v>2011</v>
      </c>
      <c r="Q76" s="178">
        <v>2012</v>
      </c>
      <c r="R76" s="178">
        <v>2013</v>
      </c>
      <c r="S76" s="178">
        <v>2014</v>
      </c>
      <c r="T76" s="178">
        <v>2015</v>
      </c>
      <c r="U76" s="178">
        <v>2016</v>
      </c>
      <c r="V76" s="178">
        <v>2017</v>
      </c>
      <c r="W76" s="350" t="s">
        <v>204</v>
      </c>
      <c r="X76" s="178" t="s">
        <v>205</v>
      </c>
    </row>
    <row r="77" spans="1:24" ht="12.75">
      <c r="A77" s="38" t="s">
        <v>111</v>
      </c>
      <c r="B77" s="6">
        <v>2158</v>
      </c>
      <c r="C77" s="6">
        <v>2117</v>
      </c>
      <c r="D77" s="6">
        <v>2145</v>
      </c>
      <c r="E77" s="6">
        <v>2752</v>
      </c>
      <c r="F77" s="6">
        <v>2937</v>
      </c>
      <c r="G77" s="6">
        <v>2888</v>
      </c>
      <c r="H77" s="6">
        <f>Allemagne!J18</f>
        <v>2909</v>
      </c>
      <c r="I77" s="90">
        <f>Allemagne!K18</f>
        <v>2914</v>
      </c>
      <c r="J77" s="6">
        <f>Allemagne!L18</f>
        <v>2567</v>
      </c>
      <c r="K77" s="38">
        <f>Allemagne!M18</f>
        <v>2380</v>
      </c>
      <c r="L77" s="6">
        <f>Allemagne!N18</f>
        <v>1918</v>
      </c>
      <c r="M77" s="6">
        <f>Allemagne!O18</f>
        <v>1478</v>
      </c>
      <c r="N77" s="6">
        <f>Allemagne!P18</f>
        <v>1169</v>
      </c>
      <c r="O77" s="6">
        <f>Allemagne!Q18</f>
        <v>1034</v>
      </c>
      <c r="P77" s="65">
        <f>Allemagne!R18</f>
        <v>938</v>
      </c>
      <c r="Q77" s="190">
        <f>Allemagne!S18</f>
        <v>954</v>
      </c>
      <c r="R77" s="190">
        <f>Allemagne!T18</f>
        <v>1099</v>
      </c>
      <c r="S77" s="190">
        <f>Allemagne!U18</f>
        <v>1004</v>
      </c>
      <c r="T77" s="190">
        <f>Allemagne!V18</f>
        <v>894</v>
      </c>
      <c r="U77" s="190">
        <f>Allemagne!W18</f>
        <v>900</v>
      </c>
      <c r="V77" s="190">
        <f>Allemagne!X18</f>
        <v>980</v>
      </c>
      <c r="W77" s="190">
        <f>Allemagne!Y18</f>
        <v>0</v>
      </c>
      <c r="X77" s="157">
        <f t="shared" si="1"/>
        <v>0.0888888888888888</v>
      </c>
    </row>
    <row r="78" spans="1:24" ht="12.75">
      <c r="A78" s="80" t="s">
        <v>112</v>
      </c>
      <c r="B78" s="83">
        <v>475</v>
      </c>
      <c r="C78" s="83">
        <v>293</v>
      </c>
      <c r="D78" s="83">
        <v>318</v>
      </c>
      <c r="E78" s="83">
        <v>552</v>
      </c>
      <c r="F78" s="83">
        <v>655</v>
      </c>
      <c r="G78" s="83">
        <v>895</v>
      </c>
      <c r="H78" s="83">
        <f>Danemark!J18</f>
        <v>889</v>
      </c>
      <c r="I78" s="83">
        <f>Danemark!K18</f>
        <v>859</v>
      </c>
      <c r="J78" s="83">
        <f>Danemark!L18</f>
        <v>740</v>
      </c>
      <c r="K78" s="80">
        <f>Danemark!M18</f>
        <v>648</v>
      </c>
      <c r="L78" s="83">
        <f>Danemark!N18</f>
        <v>449</v>
      </c>
      <c r="M78" s="83">
        <f>Danemark!O18</f>
        <v>350</v>
      </c>
      <c r="N78" s="83">
        <f>Danemark!P18</f>
        <v>253</v>
      </c>
      <c r="O78" s="83">
        <f>Danemark!Q18</f>
        <v>212</v>
      </c>
      <c r="P78" s="174">
        <f>Danemark!R18</f>
        <v>327</v>
      </c>
      <c r="Q78" s="192">
        <f>Danemark!S18</f>
        <v>374</v>
      </c>
      <c r="R78" s="192">
        <f>Danemark!T18</f>
        <v>254</v>
      </c>
      <c r="S78" s="192">
        <f>Danemark!U18</f>
        <v>336</v>
      </c>
      <c r="T78" s="192">
        <f>Danemark!V18</f>
        <v>541</v>
      </c>
      <c r="U78" s="192">
        <f>Danemark!W18</f>
        <v>372</v>
      </c>
      <c r="V78" s="192">
        <f>Danemark!X18</f>
        <v>343</v>
      </c>
      <c r="W78" s="192">
        <f>Danemark!Y18</f>
        <v>0</v>
      </c>
      <c r="X78" s="157">
        <f t="shared" si="1"/>
        <v>-0.07795698924731187</v>
      </c>
    </row>
    <row r="79" spans="1:24" ht="12.75">
      <c r="A79" s="7" t="s">
        <v>122</v>
      </c>
      <c r="B79" s="6">
        <v>3440</v>
      </c>
      <c r="C79" s="6">
        <v>3584</v>
      </c>
      <c r="D79" s="6">
        <v>3197</v>
      </c>
      <c r="E79" s="6">
        <v>3334</v>
      </c>
      <c r="F79" s="6">
        <v>3972</v>
      </c>
      <c r="G79" s="6">
        <v>4435</v>
      </c>
      <c r="H79" s="6">
        <f>Suède!J18</f>
        <v>4595.8</v>
      </c>
      <c r="I79" s="6">
        <f>Suède!K18</f>
        <v>4675</v>
      </c>
      <c r="J79" s="6">
        <f>Suède!L18</f>
        <v>4167</v>
      </c>
      <c r="K79" s="105">
        <f>Suède!M18</f>
        <v>4881</v>
      </c>
      <c r="L79" s="65">
        <f>Suède!N18</f>
        <v>3922</v>
      </c>
      <c r="M79" s="65">
        <f>Suède!O18</f>
        <v>4045</v>
      </c>
      <c r="N79" s="65">
        <f>Suède!P18</f>
        <v>3752</v>
      </c>
      <c r="O79" s="65">
        <f>Suède!Q18</f>
        <v>4028</v>
      </c>
      <c r="P79" s="65">
        <f>Suède!R18</f>
        <v>4240</v>
      </c>
      <c r="Q79" s="228">
        <f>Suède!S18</f>
        <v>3970</v>
      </c>
      <c r="R79" s="228">
        <f>Suède!T18</f>
        <v>3981</v>
      </c>
      <c r="S79" s="228">
        <f>Suède!U18</f>
        <v>4660</v>
      </c>
      <c r="T79" s="228">
        <f>Suède!V18</f>
        <v>4805</v>
      </c>
      <c r="U79" s="228">
        <f>Suède!W18</f>
        <v>5290.8</v>
      </c>
      <c r="V79" s="228">
        <f>Suède!X18</f>
        <v>4478.5</v>
      </c>
      <c r="W79" s="228">
        <f>Suède!Y18</f>
        <v>4308</v>
      </c>
      <c r="X79" s="157">
        <f t="shared" si="1"/>
        <v>-0.1535306569894912</v>
      </c>
    </row>
    <row r="80" spans="1:24" ht="12.75">
      <c r="A80" s="7" t="s">
        <v>115</v>
      </c>
      <c r="B80" s="6">
        <v>5014</v>
      </c>
      <c r="C80" s="6">
        <v>4308</v>
      </c>
      <c r="D80" s="6">
        <v>5262</v>
      </c>
      <c r="E80" s="6">
        <v>5525</v>
      </c>
      <c r="F80" s="6">
        <v>7179</v>
      </c>
      <c r="G80" s="6">
        <v>7678</v>
      </c>
      <c r="H80" s="6">
        <f>Finlande!J18</f>
        <v>7000</v>
      </c>
      <c r="I80" s="65">
        <f>Finlande!K18</f>
        <v>5528</v>
      </c>
      <c r="J80" s="5">
        <f>Finlande!L18</f>
        <v>5250</v>
      </c>
      <c r="K80" s="7">
        <f>Finlande!M18</f>
        <v>7090</v>
      </c>
      <c r="L80" s="5">
        <f>Finlande!N18</f>
        <v>6900</v>
      </c>
      <c r="M80" s="5">
        <f>Finlande!O18</f>
        <v>7144</v>
      </c>
      <c r="N80" s="5">
        <f>Finlande!P18</f>
        <v>6848</v>
      </c>
      <c r="O80" s="5">
        <f>Finlande!Q18</f>
        <v>6614</v>
      </c>
      <c r="P80" s="89">
        <f>Finlande!R18</f>
        <v>6621</v>
      </c>
      <c r="Q80" s="228">
        <f>Finlande!S18</f>
        <v>6260</v>
      </c>
      <c r="R80" s="228">
        <f>Finlande!T18</f>
        <v>6148.340000000001</v>
      </c>
      <c r="S80" s="228">
        <f>Finlande!U18</f>
        <v>5937</v>
      </c>
      <c r="T80" s="228">
        <f>Finlande!V18</f>
        <v>6908</v>
      </c>
      <c r="U80" s="228">
        <f>Finlande!W18</f>
        <v>7773</v>
      </c>
      <c r="V80" s="228">
        <f>Finlande!X18</f>
        <v>7964</v>
      </c>
      <c r="W80" s="228">
        <f>Finlande!Y18</f>
        <v>4081</v>
      </c>
      <c r="X80" s="157">
        <f t="shared" si="1"/>
        <v>0.024572237231442084</v>
      </c>
    </row>
    <row r="81" ht="12.75">
      <c r="X81" s="290"/>
    </row>
    <row r="82" ht="12.75">
      <c r="X82" s="290"/>
    </row>
    <row r="83" spans="1:24" ht="15.75">
      <c r="A83" s="161" t="s">
        <v>148</v>
      </c>
      <c r="B83" s="60">
        <v>1997</v>
      </c>
      <c r="C83" s="60">
        <v>1998</v>
      </c>
      <c r="D83" s="60">
        <v>1999</v>
      </c>
      <c r="E83" s="60">
        <v>2000</v>
      </c>
      <c r="F83" s="60">
        <v>2001</v>
      </c>
      <c r="G83" s="60">
        <v>2002</v>
      </c>
      <c r="H83" s="178">
        <v>2003</v>
      </c>
      <c r="I83" s="178">
        <v>2004</v>
      </c>
      <c r="J83" s="178">
        <v>2005</v>
      </c>
      <c r="K83" s="179">
        <v>2006</v>
      </c>
      <c r="L83" s="178">
        <v>2007</v>
      </c>
      <c r="M83" s="180">
        <v>2008</v>
      </c>
      <c r="N83" s="178">
        <v>2009</v>
      </c>
      <c r="O83" s="178">
        <v>2010</v>
      </c>
      <c r="P83" s="225">
        <v>2011</v>
      </c>
      <c r="Q83" s="178">
        <v>2012</v>
      </c>
      <c r="R83" s="178">
        <v>2013</v>
      </c>
      <c r="S83" s="178">
        <v>2014</v>
      </c>
      <c r="T83" s="178">
        <v>2015</v>
      </c>
      <c r="U83" s="178">
        <v>2016</v>
      </c>
      <c r="V83" s="178">
        <v>2017</v>
      </c>
      <c r="W83" s="350" t="s">
        <v>204</v>
      </c>
      <c r="X83" s="178" t="s">
        <v>205</v>
      </c>
    </row>
    <row r="84" spans="1:24" s="162" customFormat="1" ht="15.75">
      <c r="A84" s="38" t="s">
        <v>119</v>
      </c>
      <c r="B84" s="187"/>
      <c r="C84" s="187"/>
      <c r="D84" s="187"/>
      <c r="E84" s="187"/>
      <c r="F84" s="187"/>
      <c r="G84" s="187"/>
      <c r="H84" s="198">
        <f>Belgique!J19</f>
        <v>388</v>
      </c>
      <c r="I84" s="198">
        <f>Belgique!K19</f>
        <v>452</v>
      </c>
      <c r="J84" s="198">
        <f>Belgique!L19</f>
        <v>437</v>
      </c>
      <c r="K84" s="247">
        <f>Belgique!M19</f>
        <v>443</v>
      </c>
      <c r="L84" s="247">
        <f>Belgique!N19</f>
        <v>372</v>
      </c>
      <c r="M84" s="247">
        <f>Belgique!O19</f>
        <v>249.39</v>
      </c>
      <c r="N84" s="247">
        <f>Belgique!P19</f>
        <v>181</v>
      </c>
      <c r="O84" s="247">
        <f>Belgique!Q19</f>
        <v>265</v>
      </c>
      <c r="P84" s="247">
        <f>Belgique!R19</f>
        <v>202</v>
      </c>
      <c r="Q84" s="248">
        <f>Belgique!S19</f>
        <v>185</v>
      </c>
      <c r="R84" s="248">
        <f>Belgique!T19</f>
        <v>104.82</v>
      </c>
      <c r="S84" s="248">
        <f>Belgique!U19</f>
        <v>72</v>
      </c>
      <c r="T84" s="248">
        <f>Belgique!V19</f>
        <v>75</v>
      </c>
      <c r="U84" s="248">
        <f>Belgique!W19</f>
        <v>77</v>
      </c>
      <c r="V84" s="248">
        <f>Belgique!X19</f>
        <v>82</v>
      </c>
      <c r="W84" s="248">
        <f>Belgique!Y19</f>
        <v>79</v>
      </c>
      <c r="X84" s="157">
        <f t="shared" si="1"/>
        <v>0.06493506493506485</v>
      </c>
    </row>
    <row r="85" spans="1:24" ht="12.75">
      <c r="A85" s="38" t="s">
        <v>111</v>
      </c>
      <c r="B85" s="6">
        <v>593</v>
      </c>
      <c r="C85" s="6">
        <v>575</v>
      </c>
      <c r="D85" s="6">
        <v>467</v>
      </c>
      <c r="E85" s="6">
        <v>408</v>
      </c>
      <c r="F85" s="6">
        <v>312</v>
      </c>
      <c r="G85" s="6">
        <v>314</v>
      </c>
      <c r="H85" s="20">
        <f>Allemagne!J19</f>
        <v>441</v>
      </c>
      <c r="I85" s="20">
        <f>Allemagne!K19</f>
        <v>450</v>
      </c>
      <c r="J85" s="20">
        <f>Allemagne!L19</f>
        <v>495</v>
      </c>
      <c r="K85" s="249">
        <f>Allemagne!M19</f>
        <v>302</v>
      </c>
      <c r="L85" s="96">
        <f>Allemagne!N19</f>
        <v>325</v>
      </c>
      <c r="M85" s="96">
        <f>Allemagne!O19</f>
        <v>215</v>
      </c>
      <c r="N85" s="96">
        <f>Allemagne!P19</f>
        <v>134</v>
      </c>
      <c r="O85" s="96">
        <f>Allemagne!Q19</f>
        <v>187</v>
      </c>
      <c r="P85" s="250">
        <f>Allemagne!R19</f>
        <v>216</v>
      </c>
      <c r="Q85" s="251">
        <f>Allemagne!S19</f>
        <v>181</v>
      </c>
      <c r="R85" s="251">
        <f>Allemagne!T19</f>
        <v>149</v>
      </c>
      <c r="S85" s="251">
        <f>Allemagne!U19</f>
        <v>154</v>
      </c>
      <c r="T85" s="251">
        <f>Allemagne!V19</f>
        <v>122</v>
      </c>
      <c r="U85" s="251">
        <f>Allemagne!W19</f>
        <v>57</v>
      </c>
      <c r="V85" s="251">
        <f>Allemagne!X19</f>
        <v>77</v>
      </c>
      <c r="W85" s="251">
        <f>Allemagne!Y19</f>
        <v>0</v>
      </c>
      <c r="X85" s="157">
        <f t="shared" si="1"/>
        <v>0.3508771929824561</v>
      </c>
    </row>
    <row r="86" spans="1:24" ht="12.75">
      <c r="A86" s="80" t="s">
        <v>112</v>
      </c>
      <c r="B86" s="83">
        <v>5530</v>
      </c>
      <c r="C86" s="83">
        <v>5808</v>
      </c>
      <c r="D86" s="83">
        <v>7065</v>
      </c>
      <c r="E86" s="83">
        <v>7817</v>
      </c>
      <c r="F86" s="83">
        <v>9629</v>
      </c>
      <c r="G86" s="83">
        <v>11136</v>
      </c>
      <c r="H86" s="189">
        <f>Danemark!J19</f>
        <v>10150</v>
      </c>
      <c r="I86" s="189">
        <f>Danemark!K19</f>
        <v>9335</v>
      </c>
      <c r="J86" s="189">
        <f>Danemark!L19</f>
        <v>10286</v>
      </c>
      <c r="K86" s="199">
        <f>Danemark!M19</f>
        <v>10503</v>
      </c>
      <c r="L86" s="189">
        <f>Danemark!N19</f>
        <v>8533</v>
      </c>
      <c r="M86" s="189">
        <f>Danemark!O19</f>
        <v>5962</v>
      </c>
      <c r="N86" s="189">
        <f>Danemark!P19</f>
        <v>6949</v>
      </c>
      <c r="O86" s="189">
        <f>Danemark!Q19</f>
        <v>6890</v>
      </c>
      <c r="P86" s="232">
        <f>Danemark!R19</f>
        <v>7438</v>
      </c>
      <c r="Q86" s="192">
        <f>Danemark!S19</f>
        <v>7036</v>
      </c>
      <c r="R86" s="251">
        <f>Danemark!T19</f>
        <v>5937</v>
      </c>
      <c r="S86" s="251">
        <f>Danemark!U19</f>
        <v>5482</v>
      </c>
      <c r="T86" s="251">
        <f>Danemark!V19</f>
        <v>5839</v>
      </c>
      <c r="U86" s="251">
        <f>Danemark!W19</f>
        <v>7009</v>
      </c>
      <c r="V86" s="251">
        <f>Danemark!X19</f>
        <v>7928</v>
      </c>
      <c r="W86" s="251">
        <f>Danemark!Y19</f>
        <v>0</v>
      </c>
      <c r="X86" s="157">
        <f t="shared" si="1"/>
        <v>0.13111713511199885</v>
      </c>
    </row>
    <row r="87" spans="1:24" ht="12.75">
      <c r="A87" s="7" t="s">
        <v>114</v>
      </c>
      <c r="B87" s="6">
        <v>2345</v>
      </c>
      <c r="C87" s="6">
        <v>2433</v>
      </c>
      <c r="D87" s="6">
        <v>2398</v>
      </c>
      <c r="E87" s="6">
        <v>2114</v>
      </c>
      <c r="F87" s="6">
        <v>1851</v>
      </c>
      <c r="G87" s="6">
        <v>1824</v>
      </c>
      <c r="H87" s="20">
        <v>1604</v>
      </c>
      <c r="I87" s="20">
        <v>1377</v>
      </c>
      <c r="J87" s="22">
        <f>'Pays-Bas'!L6</f>
        <v>1226</v>
      </c>
      <c r="K87" s="45">
        <f>'Pays-Bas'!M19</f>
        <v>1200</v>
      </c>
      <c r="L87" s="6">
        <f>'Pays-Bas'!N19</f>
        <v>0</v>
      </c>
      <c r="M87" s="5">
        <f>'Pays-Bas'!O19</f>
        <v>775</v>
      </c>
      <c r="N87" s="5">
        <f>'Pays-Bas'!P19</f>
        <v>724</v>
      </c>
      <c r="O87" s="5">
        <f>'Pays-Bas'!Q19</f>
        <v>845</v>
      </c>
      <c r="P87" s="89">
        <f>'Pays-Bas'!R19</f>
        <v>741</v>
      </c>
      <c r="Q87" s="196">
        <f>'Pays-Bas'!S19</f>
        <v>562</v>
      </c>
      <c r="R87" s="196">
        <f>'Pays-Bas'!T19</f>
        <v>467</v>
      </c>
      <c r="S87" s="196">
        <f>'Pays-Bas'!U19</f>
        <v>424</v>
      </c>
      <c r="T87" s="196">
        <f>'Pays-Bas'!V19</f>
        <v>330</v>
      </c>
      <c r="U87" s="196">
        <f>'Pays-Bas'!W19</f>
        <v>333</v>
      </c>
      <c r="V87" s="196">
        <f>'Pays-Bas'!X19</f>
        <v>0</v>
      </c>
      <c r="W87" s="196">
        <f>'Pays-Bas'!Y19</f>
        <v>0</v>
      </c>
      <c r="X87" s="157">
        <f t="shared" si="1"/>
        <v>-1</v>
      </c>
    </row>
    <row r="88" spans="1:24" ht="12.75">
      <c r="A88" s="7" t="s">
        <v>122</v>
      </c>
      <c r="B88" s="6">
        <v>334</v>
      </c>
      <c r="C88" s="6">
        <v>302</v>
      </c>
      <c r="D88" s="6">
        <v>248</v>
      </c>
      <c r="E88" s="6">
        <v>251</v>
      </c>
      <c r="F88" s="6">
        <v>284</v>
      </c>
      <c r="G88" s="6">
        <v>542</v>
      </c>
      <c r="H88" s="20">
        <f>Suède!J19</f>
        <v>713</v>
      </c>
      <c r="I88" s="20">
        <f>Suède!K19</f>
        <v>630</v>
      </c>
      <c r="J88" s="22">
        <f>Suède!L19</f>
        <v>568</v>
      </c>
      <c r="K88" s="200">
        <f>Suède!M19</f>
        <v>502</v>
      </c>
      <c r="L88" s="175">
        <f>Suède!N19</f>
        <v>525</v>
      </c>
      <c r="M88" s="175">
        <f>Suède!O19</f>
        <v>457</v>
      </c>
      <c r="N88" s="175">
        <f>Suède!P19</f>
        <v>410</v>
      </c>
      <c r="O88" s="175">
        <f>Suède!Q19</f>
        <v>387</v>
      </c>
      <c r="P88" s="175">
        <f>Suède!R19</f>
        <v>444</v>
      </c>
      <c r="Q88" s="228">
        <f>Suède!S19</f>
        <v>408</v>
      </c>
      <c r="R88" s="228">
        <f>Suède!T19</f>
        <v>335</v>
      </c>
      <c r="S88" s="228">
        <f>Suède!U19</f>
        <v>348</v>
      </c>
      <c r="T88" s="228">
        <f>Suède!V19</f>
        <v>253</v>
      </c>
      <c r="U88" s="228">
        <f>Suède!W19</f>
        <v>228.3</v>
      </c>
      <c r="V88" s="228">
        <f>Suède!X19</f>
        <v>328.8</v>
      </c>
      <c r="W88" s="228">
        <f>Suède!Y19</f>
        <v>495</v>
      </c>
      <c r="X88" s="157">
        <f t="shared" si="1"/>
        <v>0.4402102496714848</v>
      </c>
    </row>
    <row r="89" spans="1:24" ht="12.75">
      <c r="A89" s="7" t="s">
        <v>116</v>
      </c>
      <c r="B89" s="6">
        <v>210</v>
      </c>
      <c r="C89" s="6">
        <v>41</v>
      </c>
      <c r="D89" s="6">
        <v>144</v>
      </c>
      <c r="E89" s="6">
        <v>30</v>
      </c>
      <c r="F89" s="6">
        <v>105</v>
      </c>
      <c r="G89" s="6">
        <v>30</v>
      </c>
      <c r="H89" s="20"/>
      <c r="I89" s="20"/>
      <c r="J89" s="98"/>
      <c r="K89" s="106"/>
      <c r="L89" s="22"/>
      <c r="M89" s="22"/>
      <c r="N89" s="22"/>
      <c r="O89" s="22"/>
      <c r="P89" s="233">
        <f>UK!R19</f>
        <v>0</v>
      </c>
      <c r="Q89" s="196">
        <f>UK!S19</f>
        <v>0</v>
      </c>
      <c r="R89" s="196">
        <f>UK!U19</f>
        <v>0</v>
      </c>
      <c r="S89" s="196">
        <f>UK!V19</f>
        <v>0</v>
      </c>
      <c r="T89" s="196">
        <f>UK!W19</f>
        <v>0</v>
      </c>
      <c r="U89" s="196">
        <f>UK!X19</f>
        <v>0</v>
      </c>
      <c r="V89" s="196">
        <f>UK!Y19</f>
        <v>0</v>
      </c>
      <c r="W89" s="196">
        <f>UK!Z19</f>
        <v>0</v>
      </c>
      <c r="X89" s="157" t="e">
        <f t="shared" si="1"/>
        <v>#DIV/0!</v>
      </c>
    </row>
    <row r="90" ht="12.75">
      <c r="X90" s="290"/>
    </row>
    <row r="91" ht="12.75">
      <c r="X91" s="290"/>
    </row>
    <row r="92" spans="1:24" ht="15.75">
      <c r="A92" s="159" t="s">
        <v>129</v>
      </c>
      <c r="B92" s="60">
        <v>1997</v>
      </c>
      <c r="C92" s="60">
        <v>1998</v>
      </c>
      <c r="D92" s="60">
        <v>1999</v>
      </c>
      <c r="E92" s="60">
        <v>2000</v>
      </c>
      <c r="F92" s="60">
        <v>2001</v>
      </c>
      <c r="G92" s="60">
        <v>2002</v>
      </c>
      <c r="H92" s="178">
        <v>2003</v>
      </c>
      <c r="I92" s="178">
        <v>2004</v>
      </c>
      <c r="J92" s="178">
        <v>2005</v>
      </c>
      <c r="K92" s="179">
        <v>2006</v>
      </c>
      <c r="L92" s="178">
        <v>2007</v>
      </c>
      <c r="M92" s="180">
        <v>2008</v>
      </c>
      <c r="N92" s="178">
        <v>2009</v>
      </c>
      <c r="O92" s="178">
        <v>2010</v>
      </c>
      <c r="P92" s="225">
        <v>2011</v>
      </c>
      <c r="Q92" s="178">
        <v>2012</v>
      </c>
      <c r="R92" s="178">
        <v>2013</v>
      </c>
      <c r="S92" s="178">
        <v>2014</v>
      </c>
      <c r="T92" s="178">
        <v>2015</v>
      </c>
      <c r="U92" s="178">
        <v>2016</v>
      </c>
      <c r="V92" s="178">
        <v>2017</v>
      </c>
      <c r="W92" s="350" t="s">
        <v>204</v>
      </c>
      <c r="X92" s="178" t="s">
        <v>205</v>
      </c>
    </row>
    <row r="93" spans="1:24" ht="12.75">
      <c r="A93" s="38" t="s">
        <v>119</v>
      </c>
      <c r="B93" s="6">
        <v>87</v>
      </c>
      <c r="C93" s="6">
        <v>195</v>
      </c>
      <c r="D93" s="6">
        <v>326</v>
      </c>
      <c r="E93" s="6">
        <v>416</v>
      </c>
      <c r="F93" s="6">
        <v>536</v>
      </c>
      <c r="G93" s="6">
        <v>210</v>
      </c>
      <c r="H93" s="6">
        <f>Belgique!J20</f>
        <v>171</v>
      </c>
      <c r="I93" s="6">
        <f>Belgique!K20</f>
        <v>177</v>
      </c>
      <c r="J93" s="6">
        <f>Belgique!L20</f>
        <v>219</v>
      </c>
      <c r="K93" s="38">
        <f>Belgique!M20</f>
        <v>203</v>
      </c>
      <c r="L93" s="6">
        <f>Belgique!N20</f>
        <v>127</v>
      </c>
      <c r="M93" s="6">
        <f>Belgique!O20</f>
        <v>115</v>
      </c>
      <c r="N93" s="6">
        <f>Belgique!P20</f>
        <v>134.73</v>
      </c>
      <c r="O93" s="38">
        <f>Belgique!Q20</f>
        <v>29</v>
      </c>
      <c r="P93" s="65">
        <f>Belgique!R20</f>
        <v>34</v>
      </c>
      <c r="Q93" s="190">
        <f>Belgique!S20</f>
        <v>24</v>
      </c>
      <c r="R93" s="190">
        <f>Belgique!T20</f>
        <v>15</v>
      </c>
      <c r="S93" s="190">
        <f>Belgique!U20</f>
        <v>7</v>
      </c>
      <c r="T93" s="190">
        <f>Belgique!V20</f>
        <v>11</v>
      </c>
      <c r="U93" s="190">
        <f>Belgique!W20</f>
        <v>37</v>
      </c>
      <c r="V93" s="190">
        <f>Belgique!X20</f>
        <v>32</v>
      </c>
      <c r="W93" s="190">
        <f>Belgique!Y20</f>
        <v>25</v>
      </c>
      <c r="X93" s="157">
        <f t="shared" si="1"/>
        <v>-0.1351351351351351</v>
      </c>
    </row>
    <row r="94" spans="1:24" ht="12.75">
      <c r="A94" s="38" t="s">
        <v>111</v>
      </c>
      <c r="B94" s="6">
        <v>1990</v>
      </c>
      <c r="C94" s="6">
        <v>2553</v>
      </c>
      <c r="D94" s="6">
        <v>2768</v>
      </c>
      <c r="E94" s="6">
        <v>3219</v>
      </c>
      <c r="F94" s="6">
        <v>3796</v>
      </c>
      <c r="G94" s="6">
        <v>3457</v>
      </c>
      <c r="H94" s="6">
        <f>Allemagne!J20</f>
        <v>2886</v>
      </c>
      <c r="I94" s="90">
        <f>Allemagne!K20</f>
        <v>2248</v>
      </c>
      <c r="J94" s="6">
        <f>Allemagne!L20</f>
        <v>2638</v>
      </c>
      <c r="K94" s="38">
        <f>Allemagne!M20</f>
        <v>2946</v>
      </c>
      <c r="L94" s="6">
        <f>Allemagne!N20</f>
        <v>2904</v>
      </c>
      <c r="M94" s="6">
        <f>Allemagne!O20</f>
        <v>2375</v>
      </c>
      <c r="N94" s="6">
        <f>Allemagne!P20</f>
        <v>1557</v>
      </c>
      <c r="O94" s="38">
        <f>Allemagne!Q20</f>
        <v>1609</v>
      </c>
      <c r="P94" s="65">
        <f>Allemagne!R20</f>
        <v>1609</v>
      </c>
      <c r="Q94" s="190">
        <f>Allemagne!S20</f>
        <v>1302</v>
      </c>
      <c r="R94" s="190">
        <f>Allemagne!T20</f>
        <v>1478</v>
      </c>
      <c r="S94" s="190">
        <f>Allemagne!U20</f>
        <v>1304</v>
      </c>
      <c r="T94" s="190">
        <f>Allemagne!V20</f>
        <v>1142</v>
      </c>
      <c r="U94" s="190">
        <f>Allemagne!W20</f>
        <v>1575</v>
      </c>
      <c r="V94" s="190">
        <f>Allemagne!X20</f>
        <v>1609</v>
      </c>
      <c r="W94" s="190">
        <f>Allemagne!Y20</f>
        <v>0</v>
      </c>
      <c r="X94" s="157">
        <f t="shared" si="1"/>
        <v>0.0215873015873016</v>
      </c>
    </row>
    <row r="95" spans="1:25" ht="12.75">
      <c r="A95" s="80" t="s">
        <v>112</v>
      </c>
      <c r="B95" s="83">
        <v>15473</v>
      </c>
      <c r="C95" s="83">
        <v>22494</v>
      </c>
      <c r="D95" s="83">
        <v>26033</v>
      </c>
      <c r="E95" s="83">
        <v>27317</v>
      </c>
      <c r="F95" s="83">
        <v>29676</v>
      </c>
      <c r="G95" s="83">
        <v>16073</v>
      </c>
      <c r="H95" s="83">
        <v>21659</v>
      </c>
      <c r="I95" s="83">
        <v>23645</v>
      </c>
      <c r="J95" s="83">
        <v>26105</v>
      </c>
      <c r="K95" s="80">
        <f>Danemark!M20</f>
        <v>26195</v>
      </c>
      <c r="L95" s="83">
        <f>Danemark!N20</f>
        <v>20973</v>
      </c>
      <c r="M95" s="83">
        <f>Danemark!O20</f>
        <v>16676</v>
      </c>
      <c r="N95" s="83">
        <f>Danemark!P20</f>
        <v>21129</v>
      </c>
      <c r="O95" s="80">
        <f>Danemark!Q20</f>
        <v>16857</v>
      </c>
      <c r="P95" s="174">
        <f>Danemark!R20</f>
        <v>15646</v>
      </c>
      <c r="Q95" s="192">
        <f>Danemark!S20</f>
        <v>15111</v>
      </c>
      <c r="R95" s="192">
        <f>Danemark!T20</f>
        <v>17919</v>
      </c>
      <c r="S95" s="192">
        <f>Danemark!U20</f>
        <v>17827</v>
      </c>
      <c r="T95" s="192">
        <f>Danemark!V20</f>
        <v>16881</v>
      </c>
      <c r="U95" s="192">
        <f>Danemark!W20</f>
        <v>17771</v>
      </c>
      <c r="V95" s="192">
        <f>Danemark!X20</f>
        <v>17958</v>
      </c>
      <c r="W95" s="192">
        <f>Danemark!Y20</f>
        <v>0</v>
      </c>
      <c r="X95" s="157">
        <f t="shared" si="1"/>
        <v>0.01052276180293732</v>
      </c>
      <c r="Y95" s="188"/>
    </row>
    <row r="96" spans="1:24" ht="12.75">
      <c r="A96" s="69" t="s">
        <v>108</v>
      </c>
      <c r="B96" s="72">
        <v>1414</v>
      </c>
      <c r="C96" s="72">
        <v>2114</v>
      </c>
      <c r="D96" s="72">
        <v>2489</v>
      </c>
      <c r="E96" s="72">
        <v>3808</v>
      </c>
      <c r="F96" s="72">
        <v>4212</v>
      </c>
      <c r="G96" s="72">
        <v>3080</v>
      </c>
      <c r="H96" s="72">
        <f>France!J21</f>
        <v>1861</v>
      </c>
      <c r="I96" s="72">
        <f>France!K21</f>
        <v>2003</v>
      </c>
      <c r="J96" s="72">
        <f>France!L21</f>
        <v>2944</v>
      </c>
      <c r="K96" s="103">
        <f>France!M21</f>
        <v>3274</v>
      </c>
      <c r="L96" s="72">
        <f>France!N21</f>
        <v>2377</v>
      </c>
      <c r="M96" s="72">
        <f>France!O21</f>
        <v>1517</v>
      </c>
      <c r="N96" s="72">
        <f>France!P21</f>
        <v>1204</v>
      </c>
      <c r="O96" s="103">
        <f>France!Q21</f>
        <v>1442</v>
      </c>
      <c r="P96" s="226">
        <f>France!R21</f>
        <v>1557</v>
      </c>
      <c r="Q96" s="194">
        <f>France!S21</f>
        <v>1181</v>
      </c>
      <c r="R96" s="194">
        <f>France!T21</f>
        <v>1080</v>
      </c>
      <c r="S96" s="194">
        <f>France!U21</f>
        <v>843</v>
      </c>
      <c r="T96" s="194">
        <f>France!V21</f>
        <v>824</v>
      </c>
      <c r="U96" s="194">
        <f>France!W21</f>
        <v>750</v>
      </c>
      <c r="V96" s="194">
        <f>France!X21</f>
        <v>893</v>
      </c>
      <c r="W96" s="194">
        <f>France!Y21</f>
        <v>1006</v>
      </c>
      <c r="X96" s="157">
        <f t="shared" si="1"/>
        <v>0.19066666666666676</v>
      </c>
    </row>
    <row r="97" spans="1:24" ht="12.75">
      <c r="A97" s="7" t="s">
        <v>114</v>
      </c>
      <c r="B97" s="6">
        <v>1570</v>
      </c>
      <c r="C97" s="6">
        <v>3368</v>
      </c>
      <c r="D97" s="6">
        <v>3500</v>
      </c>
      <c r="E97" s="6">
        <v>2949</v>
      </c>
      <c r="F97" s="6">
        <v>2917</v>
      </c>
      <c r="G97" s="6">
        <v>2560</v>
      </c>
      <c r="H97" s="6">
        <f>'Pays-Bas'!J20</f>
        <v>1986</v>
      </c>
      <c r="I97" s="6">
        <f>'Pays-Bas'!K20</f>
        <v>2011</v>
      </c>
      <c r="J97" s="5">
        <f>'Pays-Bas'!L20</f>
        <v>2466</v>
      </c>
      <c r="K97" s="38">
        <f>'Pays-Bas'!M20</f>
        <v>2470</v>
      </c>
      <c r="L97" s="38">
        <f>'Pays-Bas'!N20</f>
        <v>2105</v>
      </c>
      <c r="M97" s="38">
        <f>'Pays-Bas'!O20</f>
        <v>885</v>
      </c>
      <c r="N97" s="38">
        <f>'Pays-Bas'!P20</f>
        <v>1029</v>
      </c>
      <c r="O97" s="38">
        <f>'Pays-Bas'!Q20</f>
        <v>747</v>
      </c>
      <c r="P97" s="65">
        <f>'Pays-Bas'!R20</f>
        <v>496</v>
      </c>
      <c r="Q97" s="190">
        <f>'Pays-Bas'!S20</f>
        <v>376</v>
      </c>
      <c r="R97" s="190">
        <f>'Pays-Bas'!T20</f>
        <v>202</v>
      </c>
      <c r="S97" s="190">
        <f>'Pays-Bas'!U20</f>
        <v>180</v>
      </c>
      <c r="T97" s="190">
        <f>'Pays-Bas'!V20</f>
        <v>193</v>
      </c>
      <c r="U97" s="190">
        <f>'Pays-Bas'!W20</f>
        <v>309</v>
      </c>
      <c r="V97" s="190">
        <f>'Pays-Bas'!X20</f>
        <v>0</v>
      </c>
      <c r="W97" s="190">
        <f>'Pays-Bas'!Y20</f>
        <v>0</v>
      </c>
      <c r="X97" s="157">
        <f t="shared" si="1"/>
        <v>-1</v>
      </c>
    </row>
    <row r="98" spans="1:24" ht="12.75">
      <c r="A98" s="7" t="s">
        <v>122</v>
      </c>
      <c r="B98" s="6">
        <v>783</v>
      </c>
      <c r="C98" s="6">
        <v>818</v>
      </c>
      <c r="D98" s="6">
        <v>943</v>
      </c>
      <c r="E98" s="6">
        <v>1011</v>
      </c>
      <c r="F98" s="6">
        <v>1256</v>
      </c>
      <c r="G98" s="6">
        <v>1533</v>
      </c>
      <c r="H98" s="6">
        <f>Suède!J20</f>
        <v>1410</v>
      </c>
      <c r="I98" s="6">
        <f>Suède!K20</f>
        <v>1249</v>
      </c>
      <c r="J98" s="6">
        <f>Suède!L20</f>
        <v>1317</v>
      </c>
      <c r="K98" s="105">
        <f>Suède!M20</f>
        <v>1585</v>
      </c>
      <c r="L98" s="105">
        <f>Suède!N20</f>
        <v>1672</v>
      </c>
      <c r="M98" s="105">
        <f>Suède!O20</f>
        <v>1736</v>
      </c>
      <c r="N98" s="105">
        <f>Suède!P20</f>
        <v>1911</v>
      </c>
      <c r="O98" s="105">
        <f>Suède!Q20</f>
        <v>1964</v>
      </c>
      <c r="P98" s="65">
        <f>Suède!R20</f>
        <v>1779</v>
      </c>
      <c r="Q98" s="228">
        <f>Suède!S20</f>
        <v>1624</v>
      </c>
      <c r="R98" s="228">
        <f>Suède!T20</f>
        <v>1766</v>
      </c>
      <c r="S98" s="228">
        <f>Suède!U20</f>
        <v>1693</v>
      </c>
      <c r="T98" s="228">
        <f>Suède!V20</f>
        <v>1973</v>
      </c>
      <c r="U98" s="228">
        <f>Suède!W20</f>
        <v>1876.7</v>
      </c>
      <c r="V98" s="228">
        <f>Suède!X20</f>
        <v>2436.2</v>
      </c>
      <c r="W98" s="228">
        <f>Suède!Y20</f>
        <v>2833</v>
      </c>
      <c r="X98" s="157">
        <f t="shared" si="1"/>
        <v>0.29812969574252657</v>
      </c>
    </row>
    <row r="99" spans="1:24" ht="12.75">
      <c r="A99" s="7" t="s">
        <v>116</v>
      </c>
      <c r="B99" s="6">
        <v>314</v>
      </c>
      <c r="C99" s="6">
        <v>355</v>
      </c>
      <c r="D99" s="6">
        <v>410</v>
      </c>
      <c r="E99" s="6">
        <v>399</v>
      </c>
      <c r="F99" s="6">
        <v>294</v>
      </c>
      <c r="G99" s="6">
        <v>311</v>
      </c>
      <c r="H99" s="6">
        <f>UK!J20</f>
        <v>264</v>
      </c>
      <c r="I99" s="6">
        <f>UK!K20</f>
        <v>358.6</v>
      </c>
      <c r="J99" s="95">
        <f>UK!L20</f>
        <v>309.9</v>
      </c>
      <c r="K99" s="105">
        <f>UK!M20</f>
        <v>372.3</v>
      </c>
      <c r="L99" s="105">
        <f>UK!N20</f>
        <v>485.9</v>
      </c>
      <c r="M99" s="105">
        <f>UK!O20</f>
        <v>350.1</v>
      </c>
      <c r="N99" s="105">
        <f>UK!P20</f>
        <v>349</v>
      </c>
      <c r="O99" s="105">
        <f>UK!Q20</f>
        <v>361</v>
      </c>
      <c r="P99" s="65">
        <f>UK!R20</f>
        <v>275.3</v>
      </c>
      <c r="Q99" s="228">
        <f>UK!S20</f>
        <v>246</v>
      </c>
      <c r="R99" s="228">
        <f>UK!T20</f>
        <v>179</v>
      </c>
      <c r="S99" s="228">
        <f>UK!U20</f>
        <v>253</v>
      </c>
      <c r="T99" s="228">
        <f>UK!V20</f>
        <v>264.3</v>
      </c>
      <c r="U99" s="228">
        <f>UK!W20</f>
        <v>358</v>
      </c>
      <c r="V99" s="228">
        <f>UK!X20</f>
        <v>496</v>
      </c>
      <c r="W99" s="228">
        <f>UK!Y20</f>
        <v>449.3</v>
      </c>
      <c r="X99" s="157">
        <f t="shared" si="1"/>
        <v>0.3854748603351956</v>
      </c>
    </row>
    <row r="100" ht="12.75">
      <c r="X100" s="290"/>
    </row>
    <row r="101" ht="12.75">
      <c r="X101" s="290"/>
    </row>
    <row r="102" spans="1:24" ht="15.75">
      <c r="A102" s="252" t="s">
        <v>130</v>
      </c>
      <c r="B102" s="60">
        <v>1997</v>
      </c>
      <c r="C102" s="60">
        <v>1998</v>
      </c>
      <c r="D102" s="60">
        <v>1999</v>
      </c>
      <c r="E102" s="60">
        <v>2000</v>
      </c>
      <c r="F102" s="60">
        <v>2001</v>
      </c>
      <c r="G102" s="60">
        <v>2002</v>
      </c>
      <c r="H102" s="178">
        <v>2003</v>
      </c>
      <c r="I102" s="178">
        <v>2004</v>
      </c>
      <c r="J102" s="178">
        <v>2005</v>
      </c>
      <c r="K102" s="179">
        <v>2006</v>
      </c>
      <c r="L102" s="178">
        <v>2007</v>
      </c>
      <c r="M102" s="180">
        <v>2008</v>
      </c>
      <c r="N102" s="178">
        <v>2009</v>
      </c>
      <c r="O102" s="178">
        <v>2010</v>
      </c>
      <c r="P102" s="225">
        <v>2011</v>
      </c>
      <c r="Q102" s="178">
        <v>2012</v>
      </c>
      <c r="R102" s="178">
        <v>2013</v>
      </c>
      <c r="S102" s="178">
        <v>2014</v>
      </c>
      <c r="T102" s="178">
        <v>2015</v>
      </c>
      <c r="U102" s="178">
        <v>2016</v>
      </c>
      <c r="V102" s="178">
        <v>2017</v>
      </c>
      <c r="W102" s="350" t="s">
        <v>204</v>
      </c>
      <c r="X102" s="178" t="s">
        <v>205</v>
      </c>
    </row>
    <row r="103" spans="1:24" ht="12.75">
      <c r="A103" s="38" t="s">
        <v>111</v>
      </c>
      <c r="B103" s="6">
        <v>3389</v>
      </c>
      <c r="C103" s="6">
        <v>2871</v>
      </c>
      <c r="D103" s="6">
        <v>2809</v>
      </c>
      <c r="E103" s="6">
        <v>3105</v>
      </c>
      <c r="F103" s="6">
        <v>2665</v>
      </c>
      <c r="G103" s="6">
        <v>2469</v>
      </c>
      <c r="H103" s="6">
        <f>Allemagne!J22</f>
        <v>2383</v>
      </c>
      <c r="I103" s="90">
        <f>Allemagne!K22</f>
        <v>2221</v>
      </c>
      <c r="J103" s="6">
        <f>Allemagne!L22</f>
        <v>2929</v>
      </c>
      <c r="K103" s="38">
        <f>Allemagne!M22</f>
        <v>3707</v>
      </c>
      <c r="L103" s="38">
        <f>Allemagne!N22</f>
        <v>4047</v>
      </c>
      <c r="M103" s="38">
        <f>Allemagne!O22</f>
        <v>3460</v>
      </c>
      <c r="N103" s="38">
        <f>Allemagne!P22</f>
        <v>2487</v>
      </c>
      <c r="O103" s="38">
        <f>Allemagne!Q22</f>
        <v>1951</v>
      </c>
      <c r="P103" s="65">
        <f>Allemagne!R22</f>
        <v>1387</v>
      </c>
      <c r="Q103" s="190">
        <f>Allemagne!S22</f>
        <v>1500</v>
      </c>
      <c r="R103" s="190">
        <f>Allemagne!T22</f>
        <v>1812</v>
      </c>
      <c r="S103" s="190">
        <f>Allemagne!U22</f>
        <v>1495</v>
      </c>
      <c r="T103" s="190">
        <f>Allemagne!V22</f>
        <v>2025</v>
      </c>
      <c r="U103" s="190">
        <f>Allemagne!W22</f>
        <v>2205</v>
      </c>
      <c r="V103" s="190">
        <f>Allemagne!X22</f>
        <v>2115</v>
      </c>
      <c r="W103" s="190">
        <f>Allemagne!Y22</f>
        <v>0</v>
      </c>
      <c r="X103" s="157">
        <f t="shared" si="1"/>
        <v>-0.04081632653061229</v>
      </c>
    </row>
    <row r="104" spans="1:24" ht="12.75">
      <c r="A104" s="80" t="s">
        <v>112</v>
      </c>
      <c r="B104" s="83">
        <v>1457</v>
      </c>
      <c r="C104" s="83">
        <v>1309</v>
      </c>
      <c r="D104" s="83">
        <v>1075</v>
      </c>
      <c r="E104" s="83">
        <v>1628</v>
      </c>
      <c r="F104" s="83">
        <v>1596</v>
      </c>
      <c r="G104" s="83">
        <v>1144</v>
      </c>
      <c r="H104" s="83">
        <f>Danemark!J22</f>
        <v>926</v>
      </c>
      <c r="I104" s="83">
        <f>Danemark!K22</f>
        <v>774</v>
      </c>
      <c r="J104" s="83">
        <f>Danemark!L22</f>
        <v>983</v>
      </c>
      <c r="K104" s="80">
        <f>Danemark!M22</f>
        <v>1138</v>
      </c>
      <c r="L104" s="80">
        <f>Danemark!N22</f>
        <v>1135</v>
      </c>
      <c r="M104" s="80">
        <f>Danemark!O22</f>
        <v>1291</v>
      </c>
      <c r="N104" s="80">
        <f>Danemark!P22</f>
        <v>936</v>
      </c>
      <c r="O104" s="80">
        <f>Danemark!Q22</f>
        <v>345</v>
      </c>
      <c r="P104" s="174">
        <f>Danemark!R22</f>
        <v>233</v>
      </c>
      <c r="Q104" s="192">
        <f>Danemark!S22</f>
        <v>257</v>
      </c>
      <c r="R104" s="192">
        <f>Danemark!T22</f>
        <v>263</v>
      </c>
      <c r="S104" s="192">
        <f>Danemark!U22</f>
        <v>225</v>
      </c>
      <c r="T104" s="192">
        <f>Danemark!V22</f>
        <v>676</v>
      </c>
      <c r="U104" s="192">
        <f>Danemark!W22</f>
        <v>514</v>
      </c>
      <c r="V104" s="192">
        <f>Danemark!X22</f>
        <v>414</v>
      </c>
      <c r="W104" s="192">
        <f>Danemark!Y22</f>
        <v>0</v>
      </c>
      <c r="X104" s="157">
        <f t="shared" si="1"/>
        <v>-0.19455252918287935</v>
      </c>
    </row>
    <row r="105" spans="1:24" ht="12.75">
      <c r="A105" s="7" t="s">
        <v>122</v>
      </c>
      <c r="B105" s="6">
        <v>1276</v>
      </c>
      <c r="C105" s="6">
        <v>1245</v>
      </c>
      <c r="D105" s="6">
        <v>1358</v>
      </c>
      <c r="E105" s="6">
        <v>1950</v>
      </c>
      <c r="F105" s="6">
        <v>2126</v>
      </c>
      <c r="G105" s="6">
        <v>2211</v>
      </c>
      <c r="H105" s="6">
        <f>Suède!J22</f>
        <v>1851.5</v>
      </c>
      <c r="I105" s="6">
        <f>Suède!K22</f>
        <v>1560</v>
      </c>
      <c r="J105" s="6">
        <f>Suède!L22</f>
        <v>1774</v>
      </c>
      <c r="K105" s="105">
        <f>Suède!M22</f>
        <v>2221</v>
      </c>
      <c r="L105" s="105">
        <f>Suède!N22</f>
        <v>2009</v>
      </c>
      <c r="M105" s="105">
        <f>Suède!O22</f>
        <v>1671</v>
      </c>
      <c r="N105" s="105">
        <f>Suède!P22</f>
        <v>1521</v>
      </c>
      <c r="O105" s="105">
        <f>Suède!Q22</f>
        <v>1466</v>
      </c>
      <c r="P105" s="65">
        <f>Suède!R22</f>
        <v>1329</v>
      </c>
      <c r="Q105" s="228">
        <f>Suède!S22</f>
        <v>1295</v>
      </c>
      <c r="R105" s="228">
        <f>Suède!T22</f>
        <v>1423</v>
      </c>
      <c r="S105" s="228">
        <f>Suède!U22</f>
        <v>1527</v>
      </c>
      <c r="T105" s="228">
        <f>Suède!V22</f>
        <v>1757</v>
      </c>
      <c r="U105" s="228">
        <f>Suède!W22</f>
        <v>2280.2</v>
      </c>
      <c r="V105" s="228">
        <f>Suède!X22</f>
        <v>2346.9</v>
      </c>
      <c r="W105" s="228">
        <f>Suède!Y22</f>
        <v>2098</v>
      </c>
      <c r="X105" s="157">
        <f t="shared" si="1"/>
        <v>0.0292518200157883</v>
      </c>
    </row>
    <row r="106" spans="1:24" ht="12.75">
      <c r="A106" s="7" t="s">
        <v>115</v>
      </c>
      <c r="B106" s="6">
        <v>1012</v>
      </c>
      <c r="C106" s="6">
        <v>1331</v>
      </c>
      <c r="D106" s="6">
        <v>1541</v>
      </c>
      <c r="E106" s="6">
        <v>1392</v>
      </c>
      <c r="F106" s="6">
        <v>1649</v>
      </c>
      <c r="G106" s="6">
        <v>1668</v>
      </c>
      <c r="H106" s="6">
        <f>Finlande!J22</f>
        <v>1700</v>
      </c>
      <c r="I106" s="65">
        <f>Finlande!K22</f>
        <v>1600</v>
      </c>
      <c r="J106" s="5">
        <f>Finlande!L22</f>
        <v>1600</v>
      </c>
      <c r="K106" s="7">
        <f>Finlande!M22</f>
        <v>1600</v>
      </c>
      <c r="L106" s="7">
        <f>Finlande!N22</f>
        <v>1580</v>
      </c>
      <c r="M106" s="7">
        <f>Finlande!O22</f>
        <v>1475</v>
      </c>
      <c r="N106" s="7">
        <f>Finlande!P22</f>
        <v>1342</v>
      </c>
      <c r="O106" s="7">
        <f>Finlande!Q22</f>
        <v>1307</v>
      </c>
      <c r="P106" s="89">
        <f>Finlande!R22</f>
        <v>1169</v>
      </c>
      <c r="Q106" s="196">
        <f>Finlande!S22</f>
        <v>1105</v>
      </c>
      <c r="R106" s="197">
        <f>Finlande!T22</f>
        <v>1098.02</v>
      </c>
      <c r="S106" s="197">
        <f>Finlande!U22</f>
        <v>1113</v>
      </c>
      <c r="T106" s="197">
        <f>Finlande!V22</f>
        <v>1258</v>
      </c>
      <c r="U106" s="197">
        <f>Finlande!W22</f>
        <v>1569</v>
      </c>
      <c r="V106" s="197">
        <f>Finlande!X22</f>
        <v>1617</v>
      </c>
      <c r="W106" s="197">
        <f>Finlande!Y22</f>
        <v>977</v>
      </c>
      <c r="X106" s="157">
        <f t="shared" si="1"/>
        <v>0.030592734225621365</v>
      </c>
    </row>
    <row r="107" ht="12.75">
      <c r="X107" s="290"/>
    </row>
    <row r="108" ht="12.75">
      <c r="X108" s="290"/>
    </row>
    <row r="109" spans="1:24" ht="15.75">
      <c r="A109" s="253" t="s">
        <v>131</v>
      </c>
      <c r="B109" s="60">
        <v>1997</v>
      </c>
      <c r="C109" s="60">
        <v>1998</v>
      </c>
      <c r="D109" s="60">
        <v>1999</v>
      </c>
      <c r="E109" s="60">
        <v>2000</v>
      </c>
      <c r="F109" s="60">
        <v>2001</v>
      </c>
      <c r="G109" s="60">
        <v>2002</v>
      </c>
      <c r="H109" s="178">
        <v>2003</v>
      </c>
      <c r="I109" s="178">
        <v>2004</v>
      </c>
      <c r="J109" s="178">
        <v>2005</v>
      </c>
      <c r="K109" s="178">
        <v>2006</v>
      </c>
      <c r="L109" s="178">
        <v>2007</v>
      </c>
      <c r="M109" s="178">
        <v>2008</v>
      </c>
      <c r="N109" s="178">
        <v>2009</v>
      </c>
      <c r="O109" s="178">
        <v>2010</v>
      </c>
      <c r="P109" s="225">
        <v>2011</v>
      </c>
      <c r="Q109" s="178">
        <v>2012</v>
      </c>
      <c r="R109" s="178">
        <v>2013</v>
      </c>
      <c r="S109" s="178">
        <v>2014</v>
      </c>
      <c r="T109" s="178">
        <v>2015</v>
      </c>
      <c r="U109" s="178">
        <v>2016</v>
      </c>
      <c r="V109" s="178">
        <v>2017</v>
      </c>
      <c r="W109" s="350" t="s">
        <v>204</v>
      </c>
      <c r="X109" s="178" t="s">
        <v>205</v>
      </c>
    </row>
    <row r="110" spans="1:24" ht="12.75">
      <c r="A110" s="83" t="s">
        <v>112</v>
      </c>
      <c r="B110" s="83">
        <v>222</v>
      </c>
      <c r="C110" s="83">
        <v>730</v>
      </c>
      <c r="D110" s="83">
        <v>988</v>
      </c>
      <c r="E110" s="83">
        <v>1813</v>
      </c>
      <c r="F110" s="83">
        <v>2123</v>
      </c>
      <c r="G110" s="83">
        <v>2408</v>
      </c>
      <c r="H110" s="83">
        <f>Danemark!J23</f>
        <v>2864</v>
      </c>
      <c r="I110" s="83">
        <f>Danemark!K23</f>
        <v>3292</v>
      </c>
      <c r="J110" s="83">
        <f>Danemark!L23</f>
        <v>2747</v>
      </c>
      <c r="K110" s="83">
        <f>Danemark!M23</f>
        <v>2869</v>
      </c>
      <c r="L110" s="83">
        <f>Danemark!N23</f>
        <v>3932</v>
      </c>
      <c r="M110" s="83">
        <f>Danemark!O23</f>
        <v>5056</v>
      </c>
      <c r="N110" s="83">
        <f>Danemark!P23</f>
        <v>6167</v>
      </c>
      <c r="O110" s="83">
        <f>Danemark!Q23</f>
        <v>2865</v>
      </c>
      <c r="P110" s="174">
        <f>Danemark!R23</f>
        <v>1356</v>
      </c>
      <c r="Q110" s="192">
        <f>Danemark!S23</f>
        <v>2494</v>
      </c>
      <c r="R110" s="192">
        <f>Danemark!T23</f>
        <v>3792</v>
      </c>
      <c r="S110" s="192">
        <f>Danemark!U23</f>
        <v>4232</v>
      </c>
      <c r="T110" s="192">
        <f>Danemark!V23</f>
        <v>4386</v>
      </c>
      <c r="U110" s="192">
        <f>Danemark!W23</f>
        <v>3676</v>
      </c>
      <c r="V110" s="192">
        <f>Danemark!X23</f>
        <v>5911</v>
      </c>
      <c r="W110" s="192">
        <f>Danemark!Y23</f>
        <v>0</v>
      </c>
      <c r="X110" s="157">
        <f t="shared" si="1"/>
        <v>0.6079978237214363</v>
      </c>
    </row>
    <row r="111" spans="1:24" ht="12.75">
      <c r="A111" s="73" t="s">
        <v>108</v>
      </c>
      <c r="B111" s="72">
        <v>2407</v>
      </c>
      <c r="C111" s="72">
        <v>3088</v>
      </c>
      <c r="D111" s="72">
        <v>2407</v>
      </c>
      <c r="E111" s="72">
        <f>1837+1988</f>
        <v>3825</v>
      </c>
      <c r="F111" s="72">
        <f>1829+1476</f>
        <v>3305</v>
      </c>
      <c r="G111" s="72">
        <f>1254+2182</f>
        <v>3436</v>
      </c>
      <c r="H111" s="72">
        <f>France!J24</f>
        <v>4122</v>
      </c>
      <c r="I111" s="72">
        <f>France!K24</f>
        <v>4141</v>
      </c>
      <c r="J111" s="72">
        <f>France!L24</f>
        <v>4336</v>
      </c>
      <c r="K111" s="72">
        <f>France!M24</f>
        <v>4336</v>
      </c>
      <c r="L111" s="72">
        <f>France!N24</f>
        <v>4171</v>
      </c>
      <c r="M111" s="72">
        <f>France!O24</f>
        <v>3886</v>
      </c>
      <c r="N111" s="194">
        <f>France!P24</f>
        <v>3970</v>
      </c>
      <c r="O111" s="72">
        <f>France!Q24</f>
        <v>3121</v>
      </c>
      <c r="P111" s="226">
        <f>France!R24</f>
        <v>2560</v>
      </c>
      <c r="Q111" s="194">
        <f>France!S24</f>
        <v>2432</v>
      </c>
      <c r="R111" s="194">
        <f>France!T24</f>
        <v>2150</v>
      </c>
      <c r="S111" s="194">
        <f>France!U24</f>
        <v>1964</v>
      </c>
      <c r="T111" s="194">
        <f>France!V24</f>
        <v>1996</v>
      </c>
      <c r="U111" s="194">
        <f>France!W24</f>
        <v>1875</v>
      </c>
      <c r="V111" s="194">
        <f>France!X24</f>
        <v>2325</v>
      </c>
      <c r="W111" s="194">
        <f>France!Y24</f>
        <v>2203</v>
      </c>
      <c r="X111" s="157">
        <f t="shared" si="1"/>
        <v>0.24</v>
      </c>
    </row>
    <row r="112" spans="1:24" ht="12.75">
      <c r="A112" s="5" t="s">
        <v>114</v>
      </c>
      <c r="B112" s="6">
        <v>763</v>
      </c>
      <c r="C112" s="6">
        <v>1001</v>
      </c>
      <c r="D112" s="6">
        <v>713</v>
      </c>
      <c r="E112" s="6">
        <v>1102</v>
      </c>
      <c r="F112" s="6">
        <v>1540</v>
      </c>
      <c r="G112" s="6">
        <v>1900</v>
      </c>
      <c r="H112" s="6">
        <f>'Pays-Bas'!J23</f>
        <v>1935</v>
      </c>
      <c r="I112" s="6">
        <f>'Pays-Bas'!K23</f>
        <v>1957</v>
      </c>
      <c r="J112" s="5">
        <f>'Pays-Bas'!L23</f>
        <v>1910</v>
      </c>
      <c r="K112" s="6">
        <f>'Pays-Bas'!M23</f>
        <v>1700</v>
      </c>
      <c r="L112" s="6">
        <f>'Pays-Bas'!N23</f>
        <v>1729</v>
      </c>
      <c r="M112" s="6">
        <f>'Pays-Bas'!O23</f>
        <v>1721</v>
      </c>
      <c r="N112" s="190">
        <f>'Pays-Bas'!P23</f>
        <v>2278</v>
      </c>
      <c r="O112" s="6">
        <f>'Pays-Bas'!Q23</f>
        <v>1247</v>
      </c>
      <c r="P112" s="65">
        <f>'Pays-Bas'!R23</f>
        <v>634</v>
      </c>
      <c r="Q112" s="190">
        <f>'Pays-Bas'!S23</f>
        <v>768</v>
      </c>
      <c r="R112" s="190">
        <f>'Pays-Bas'!T23</f>
        <v>972</v>
      </c>
      <c r="S112" s="190">
        <f>'Pays-Bas'!U23</f>
        <v>1129</v>
      </c>
      <c r="T112" s="190">
        <f>'Pays-Bas'!V23</f>
        <v>1315</v>
      </c>
      <c r="U112" s="190">
        <f>'Pays-Bas'!W23</f>
        <v>956</v>
      </c>
      <c r="V112" s="190">
        <f>'Pays-Bas'!X23</f>
        <v>0</v>
      </c>
      <c r="W112" s="190">
        <f>'Pays-Bas'!Y23</f>
        <v>0</v>
      </c>
      <c r="X112" s="157">
        <f t="shared" si="1"/>
        <v>-1</v>
      </c>
    </row>
    <row r="113" spans="1:24" ht="12.75">
      <c r="A113" s="5" t="s">
        <v>122</v>
      </c>
      <c r="B113" s="5"/>
      <c r="C113" s="5"/>
      <c r="D113" s="5"/>
      <c r="E113" s="5"/>
      <c r="F113" s="5"/>
      <c r="G113" s="5"/>
      <c r="H113" s="5"/>
      <c r="I113" s="5"/>
      <c r="J113" s="5"/>
      <c r="K113" s="5">
        <f>+Suède!M23</f>
        <v>73</v>
      </c>
      <c r="L113" s="5">
        <f>+Suède!N23</f>
        <v>9</v>
      </c>
      <c r="M113" s="5">
        <f>+Suède!O23</f>
        <v>335</v>
      </c>
      <c r="N113" s="5">
        <f>+Suède!P23</f>
        <v>473</v>
      </c>
      <c r="O113" s="5">
        <f>+Suède!Q23</f>
        <v>619</v>
      </c>
      <c r="P113" s="89">
        <f>Suède!R23</f>
        <v>757</v>
      </c>
      <c r="Q113" s="196">
        <f>Suède!S23</f>
        <v>811</v>
      </c>
      <c r="R113" s="196">
        <f>Suède!T23</f>
        <v>755</v>
      </c>
      <c r="S113" s="196">
        <f>Suède!U23</f>
        <v>583</v>
      </c>
      <c r="T113" s="196">
        <f>Suède!V23</f>
        <v>666</v>
      </c>
      <c r="U113" s="196">
        <f>Suède!W23</f>
        <v>861.8</v>
      </c>
      <c r="V113" s="196">
        <f>Suède!X23</f>
        <v>805.8</v>
      </c>
      <c r="W113" s="196">
        <f>Suède!Y23</f>
        <v>1168</v>
      </c>
      <c r="X113" s="157">
        <f t="shared" si="1"/>
        <v>-0.0649802738454398</v>
      </c>
    </row>
    <row r="114" spans="1:24" ht="12.75">
      <c r="A114" s="5" t="s">
        <v>115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>
        <f>+Finlande!N23</f>
        <v>130</v>
      </c>
      <c r="M114" s="5">
        <f>+Finlande!O23</f>
        <v>123</v>
      </c>
      <c r="N114" s="5">
        <f>+Finlande!P23</f>
        <v>126</v>
      </c>
      <c r="O114" s="5">
        <f>+Finlande!Q23</f>
        <v>136</v>
      </c>
      <c r="P114" s="89">
        <f>+Finlande!R23</f>
        <v>194</v>
      </c>
      <c r="Q114" s="196">
        <f>+Finlande!S23</f>
        <v>108</v>
      </c>
      <c r="R114" s="196">
        <f>+Finlande!T23</f>
        <v>207.48999999999998</v>
      </c>
      <c r="S114" s="196">
        <f>+Finlande!U23</f>
        <v>147</v>
      </c>
      <c r="T114" s="196">
        <f>+Finlande!V23</f>
        <v>151</v>
      </c>
      <c r="U114" s="196">
        <f>+Finlande!W23</f>
        <v>129</v>
      </c>
      <c r="V114" s="196">
        <f>+Finlande!X23</f>
        <v>139</v>
      </c>
      <c r="W114" s="196">
        <f>+Finlande!Y23</f>
        <v>65</v>
      </c>
      <c r="X114" s="157">
        <f t="shared" si="1"/>
        <v>0.07751937984496116</v>
      </c>
    </row>
    <row r="115" ht="12.75">
      <c r="X115" s="290"/>
    </row>
    <row r="116" spans="1:24" ht="15.75">
      <c r="A116" s="160" t="s">
        <v>132</v>
      </c>
      <c r="B116" s="60">
        <v>1997</v>
      </c>
      <c r="C116" s="60">
        <v>1998</v>
      </c>
      <c r="D116" s="60">
        <v>1999</v>
      </c>
      <c r="E116" s="60">
        <v>2000</v>
      </c>
      <c r="F116" s="60">
        <v>2001</v>
      </c>
      <c r="G116" s="60">
        <v>2002</v>
      </c>
      <c r="H116" s="178">
        <v>2003</v>
      </c>
      <c r="I116" s="178">
        <v>2004</v>
      </c>
      <c r="J116" s="178">
        <v>2005</v>
      </c>
      <c r="K116" s="179">
        <v>2006</v>
      </c>
      <c r="L116" s="178">
        <v>2007</v>
      </c>
      <c r="M116" s="180">
        <v>2008</v>
      </c>
      <c r="N116" s="178">
        <v>2009</v>
      </c>
      <c r="O116" s="180">
        <v>2010</v>
      </c>
      <c r="P116" s="178">
        <v>2011</v>
      </c>
      <c r="Q116" s="180">
        <v>2012</v>
      </c>
      <c r="R116" s="178">
        <v>2013</v>
      </c>
      <c r="S116" s="178">
        <v>2014</v>
      </c>
      <c r="T116" s="178">
        <v>2015</v>
      </c>
      <c r="U116" s="178">
        <v>2016</v>
      </c>
      <c r="V116" s="178">
        <v>2017</v>
      </c>
      <c r="W116" s="350" t="s">
        <v>204</v>
      </c>
      <c r="X116" s="178" t="s">
        <v>205</v>
      </c>
    </row>
    <row r="117" spans="1:24" ht="12.75">
      <c r="A117" s="38" t="s">
        <v>111</v>
      </c>
      <c r="B117" s="6">
        <v>661</v>
      </c>
      <c r="C117" s="6">
        <v>1369</v>
      </c>
      <c r="D117" s="6">
        <v>1523</v>
      </c>
      <c r="E117" s="6">
        <v>1907</v>
      </c>
      <c r="F117" s="6">
        <v>2128</v>
      </c>
      <c r="G117" s="6">
        <v>1860</v>
      </c>
      <c r="H117" s="6">
        <f>Allemagne!J21</f>
        <v>537</v>
      </c>
      <c r="I117" s="90">
        <f>Allemagne!K21</f>
        <v>974</v>
      </c>
      <c r="J117" s="6">
        <f>Allemagne!L21</f>
        <v>1408</v>
      </c>
      <c r="K117" s="38">
        <f>Allemagne!M21</f>
        <v>1672</v>
      </c>
      <c r="L117" s="38">
        <f>Allemagne!N21</f>
        <v>1366</v>
      </c>
      <c r="M117" s="38">
        <f>Allemagne!O21</f>
        <v>1727</v>
      </c>
      <c r="N117" s="38">
        <f>Allemagne!P21</f>
        <v>1662</v>
      </c>
      <c r="O117" s="38">
        <f>Allemagne!Q21</f>
        <v>1618</v>
      </c>
      <c r="P117" s="65">
        <f>Allemagne!R21</f>
        <v>1727</v>
      </c>
      <c r="Q117" s="190">
        <f>Allemagne!S21</f>
        <v>1448</v>
      </c>
      <c r="R117" s="190">
        <f>Allemagne!T21</f>
        <v>1469</v>
      </c>
      <c r="S117" s="190">
        <f>Allemagne!U21</f>
        <v>1387</v>
      </c>
      <c r="T117" s="190">
        <f>Allemagne!V21</f>
        <v>1346</v>
      </c>
      <c r="U117" s="190">
        <f>Allemagne!W21</f>
        <v>1494</v>
      </c>
      <c r="V117" s="190">
        <f>Allemagne!X21</f>
        <v>1423</v>
      </c>
      <c r="W117" s="190">
        <f>Allemagne!Y21</f>
        <v>0</v>
      </c>
      <c r="X117" s="157">
        <f t="shared" si="1"/>
        <v>-0.047523427041499366</v>
      </c>
    </row>
    <row r="118" spans="1:24" ht="12.75">
      <c r="A118" s="80" t="s">
        <v>112</v>
      </c>
      <c r="B118" s="83">
        <v>392</v>
      </c>
      <c r="C118" s="83">
        <v>602</v>
      </c>
      <c r="D118" s="83">
        <v>1115</v>
      </c>
      <c r="E118" s="83">
        <v>1795</v>
      </c>
      <c r="F118" s="83">
        <v>1906</v>
      </c>
      <c r="G118" s="83">
        <v>1049</v>
      </c>
      <c r="H118" s="83">
        <f>Danemark!J21</f>
        <v>664</v>
      </c>
      <c r="I118" s="83">
        <f>Danemark!K21</f>
        <v>908</v>
      </c>
      <c r="J118" s="83">
        <f>Danemark!L21</f>
        <v>1023</v>
      </c>
      <c r="K118" s="80">
        <f>Danemark!M21</f>
        <v>1398</v>
      </c>
      <c r="L118" s="80">
        <f>Danemark!N21</f>
        <v>1332</v>
      </c>
      <c r="M118" s="80">
        <f>Danemark!O21</f>
        <v>1161</v>
      </c>
      <c r="N118" s="80">
        <f>Danemark!P21</f>
        <v>1302</v>
      </c>
      <c r="O118" s="80">
        <f>Danemark!Q21</f>
        <v>1214</v>
      </c>
      <c r="P118" s="174">
        <f>Danemark!R21</f>
        <v>1000</v>
      </c>
      <c r="Q118" s="192">
        <f>Danemark!S21</f>
        <v>784</v>
      </c>
      <c r="R118" s="192">
        <f>Danemark!T21</f>
        <v>774</v>
      </c>
      <c r="S118" s="192">
        <f>Danemark!U21</f>
        <v>697</v>
      </c>
      <c r="T118" s="192">
        <f>Danemark!V21</f>
        <v>761</v>
      </c>
      <c r="U118" s="192">
        <f>Danemark!W21</f>
        <v>786</v>
      </c>
      <c r="V118" s="192">
        <f>Danemark!X21</f>
        <v>979</v>
      </c>
      <c r="W118" s="192">
        <f>Danemark!Y21</f>
        <v>0</v>
      </c>
      <c r="X118" s="157">
        <f t="shared" si="1"/>
        <v>0.24554707379134855</v>
      </c>
    </row>
    <row r="119" spans="1:24" ht="12.75">
      <c r="A119" s="69" t="s">
        <v>108</v>
      </c>
      <c r="B119" s="72">
        <v>127</v>
      </c>
      <c r="C119" s="72">
        <v>182</v>
      </c>
      <c r="D119" s="72">
        <v>273</v>
      </c>
      <c r="E119" s="72">
        <v>347</v>
      </c>
      <c r="F119" s="72">
        <v>415</v>
      </c>
      <c r="G119" s="72">
        <v>197</v>
      </c>
      <c r="H119" s="72">
        <f>France!J22</f>
        <v>197</v>
      </c>
      <c r="I119" s="72">
        <f>France!K22</f>
        <v>103</v>
      </c>
      <c r="J119" s="72">
        <f>France!L22</f>
        <v>107</v>
      </c>
      <c r="K119" s="103">
        <f>France!M22</f>
        <v>83</v>
      </c>
      <c r="L119" s="103">
        <f>France!N22</f>
        <v>83</v>
      </c>
      <c r="M119" s="103">
        <f>France!O22</f>
        <v>114</v>
      </c>
      <c r="N119" s="103">
        <f>France!P22</f>
        <v>52</v>
      </c>
      <c r="O119" s="103">
        <f>France!Q22</f>
        <v>32</v>
      </c>
      <c r="P119" s="103">
        <f>France!R22</f>
        <v>64</v>
      </c>
      <c r="Q119" s="194">
        <f>France!S22</f>
        <v>49</v>
      </c>
      <c r="R119" s="194">
        <f>France!T31</f>
        <v>15</v>
      </c>
      <c r="S119" s="194">
        <f>France!U31</f>
        <v>5</v>
      </c>
      <c r="T119" s="194">
        <f>France!V31</f>
        <v>7</v>
      </c>
      <c r="U119" s="194">
        <f>France!W31</f>
        <v>0</v>
      </c>
      <c r="V119" s="194">
        <f>France!X31</f>
        <v>0</v>
      </c>
      <c r="W119" s="194">
        <f>France!Y31</f>
        <v>0</v>
      </c>
      <c r="X119" s="157" t="e">
        <f t="shared" si="1"/>
        <v>#DIV/0!</v>
      </c>
    </row>
    <row r="120" spans="1:24" ht="12.75">
      <c r="A120" s="7" t="s">
        <v>114</v>
      </c>
      <c r="B120" s="6">
        <v>63</v>
      </c>
      <c r="C120" s="6">
        <v>148</v>
      </c>
      <c r="D120" s="6">
        <v>322</v>
      </c>
      <c r="E120" s="6">
        <v>386</v>
      </c>
      <c r="F120" s="6">
        <v>277</v>
      </c>
      <c r="G120" s="6">
        <v>153</v>
      </c>
      <c r="H120" s="6">
        <f>'Pays-Bas'!J21</f>
        <v>189</v>
      </c>
      <c r="I120" s="5">
        <f>'Pays-Bas'!K21</f>
        <v>139</v>
      </c>
      <c r="J120" s="5">
        <f>'Pays-Bas'!L21</f>
        <v>183</v>
      </c>
      <c r="K120" s="7">
        <f>'Pays-Bas'!M21</f>
        <v>225</v>
      </c>
      <c r="L120" s="7">
        <f>'Pays-Bas'!N21</f>
        <v>291</v>
      </c>
      <c r="M120" s="7">
        <f>'Pays-Bas'!O21</f>
        <v>113</v>
      </c>
      <c r="N120" s="7">
        <f>'Pays-Bas'!P21</f>
        <v>49</v>
      </c>
      <c r="O120" s="7">
        <f>'Pays-Bas'!Q21</f>
        <v>88</v>
      </c>
      <c r="P120" s="89">
        <f>'Pays-Bas'!R21</f>
        <v>63</v>
      </c>
      <c r="Q120" s="196">
        <f>'Pays-Bas'!S21</f>
        <v>35</v>
      </c>
      <c r="R120" s="196">
        <f>'Pays-Bas'!T21</f>
        <v>22</v>
      </c>
      <c r="S120" s="196"/>
      <c r="T120" s="196"/>
      <c r="U120" s="196"/>
      <c r="V120" s="196"/>
      <c r="W120" s="196"/>
      <c r="X120" s="157" t="e">
        <f t="shared" si="1"/>
        <v>#DIV/0!</v>
      </c>
    </row>
    <row r="121" ht="12.75">
      <c r="X121" s="290"/>
    </row>
    <row r="122" ht="12.75">
      <c r="X122" s="290"/>
    </row>
    <row r="123" spans="1:24" ht="15.75">
      <c r="A123" s="160" t="s">
        <v>133</v>
      </c>
      <c r="B123" s="60">
        <v>1997</v>
      </c>
      <c r="C123" s="60">
        <v>1998</v>
      </c>
      <c r="D123" s="60">
        <v>1999</v>
      </c>
      <c r="E123" s="60">
        <v>2000</v>
      </c>
      <c r="F123" s="60">
        <v>2001</v>
      </c>
      <c r="G123" s="60">
        <v>2002</v>
      </c>
      <c r="H123" s="178">
        <v>2003</v>
      </c>
      <c r="I123" s="178">
        <v>2004</v>
      </c>
      <c r="J123" s="178">
        <v>2005</v>
      </c>
      <c r="K123" s="179">
        <v>2006</v>
      </c>
      <c r="L123" s="178">
        <v>2007</v>
      </c>
      <c r="M123" s="180">
        <v>2008</v>
      </c>
      <c r="N123" s="178">
        <v>2009</v>
      </c>
      <c r="O123" s="178">
        <v>2010</v>
      </c>
      <c r="P123" s="225">
        <v>2011</v>
      </c>
      <c r="Q123" s="178">
        <v>2012</v>
      </c>
      <c r="R123" s="178">
        <v>2013</v>
      </c>
      <c r="S123" s="178">
        <v>2014</v>
      </c>
      <c r="T123" s="178">
        <v>2015</v>
      </c>
      <c r="U123" s="178">
        <v>2016</v>
      </c>
      <c r="V123" s="178">
        <v>2017</v>
      </c>
      <c r="W123" s="350" t="s">
        <v>204</v>
      </c>
      <c r="X123" s="178" t="s">
        <v>205</v>
      </c>
    </row>
    <row r="124" spans="1:24" ht="12.75">
      <c r="A124" s="38" t="s">
        <v>119</v>
      </c>
      <c r="B124" s="6">
        <v>1160</v>
      </c>
      <c r="C124" s="6">
        <v>1475</v>
      </c>
      <c r="D124" s="6">
        <v>1333</v>
      </c>
      <c r="E124" s="6">
        <v>898</v>
      </c>
      <c r="F124" s="6">
        <v>589</v>
      </c>
      <c r="G124" s="6">
        <v>352</v>
      </c>
      <c r="H124" s="6">
        <f>Belgique!J24</f>
        <v>653</v>
      </c>
      <c r="I124" s="6">
        <f>Belgique!K24</f>
        <v>1026</v>
      </c>
      <c r="J124" s="20">
        <f>Belgique!L24</f>
        <v>1095</v>
      </c>
      <c r="K124" s="45">
        <f>Belgique!M24</f>
        <v>811</v>
      </c>
      <c r="L124" s="45">
        <f>Belgique!N24</f>
        <v>694</v>
      </c>
      <c r="M124" s="45">
        <f>Belgique!O24</f>
        <v>573</v>
      </c>
      <c r="N124" s="45">
        <f>Belgique!P24</f>
        <v>663</v>
      </c>
      <c r="O124" s="45">
        <f>Belgique!Q24</f>
        <v>555</v>
      </c>
      <c r="P124" s="175">
        <f>Belgique!R24</f>
        <v>472</v>
      </c>
      <c r="Q124" s="190">
        <f>Belgique!S24</f>
        <v>549.7</v>
      </c>
      <c r="R124" s="190">
        <f>Belgique!T24</f>
        <v>453.11</v>
      </c>
      <c r="S124" s="190">
        <f>Belgique!U24</f>
        <v>378</v>
      </c>
      <c r="T124" s="190">
        <f>Belgique!V24</f>
        <v>404</v>
      </c>
      <c r="U124" s="190">
        <f>Belgique!W24</f>
        <v>358</v>
      </c>
      <c r="V124" s="190">
        <f>Belgique!X24</f>
        <v>358</v>
      </c>
      <c r="W124" s="190">
        <f>Belgique!Y24</f>
        <v>410</v>
      </c>
      <c r="X124" s="157">
        <f t="shared" si="1"/>
        <v>0</v>
      </c>
    </row>
    <row r="125" spans="1:24" ht="12.75">
      <c r="A125" s="38" t="s">
        <v>111</v>
      </c>
      <c r="B125" s="6">
        <v>10681</v>
      </c>
      <c r="C125" s="6">
        <v>11104</v>
      </c>
      <c r="D125" s="6">
        <v>10570</v>
      </c>
      <c r="E125" s="6">
        <v>9936</v>
      </c>
      <c r="F125" s="6">
        <v>8283</v>
      </c>
      <c r="G125" s="6">
        <v>6467</v>
      </c>
      <c r="H125" s="6">
        <f>Allemagne!J24</f>
        <v>8112</v>
      </c>
      <c r="I125" s="90">
        <f>Allemagne!K24</f>
        <v>10142</v>
      </c>
      <c r="J125" s="6">
        <f>Allemagne!L24</f>
        <v>9712</v>
      </c>
      <c r="K125" s="38">
        <f>Allemagne!M24</f>
        <v>9841</v>
      </c>
      <c r="L125" s="38">
        <f>Allemagne!N24</f>
        <v>9464</v>
      </c>
      <c r="M125" s="38">
        <f>Allemagne!O24</f>
        <v>6927</v>
      </c>
      <c r="N125" s="38">
        <f>Allemagne!P24</f>
        <v>7098</v>
      </c>
      <c r="O125" s="38">
        <f>Allemagne!Q24</f>
        <v>6950</v>
      </c>
      <c r="P125" s="65">
        <f>Allemagne!R24</f>
        <v>6167</v>
      </c>
      <c r="Q125" s="190">
        <f>Allemagne!S24</f>
        <v>7134</v>
      </c>
      <c r="R125" s="190">
        <f>Allemagne!T24</f>
        <v>6761</v>
      </c>
      <c r="S125" s="190">
        <f>Allemagne!U24</f>
        <v>6154</v>
      </c>
      <c r="T125" s="190">
        <f>Allemagne!V24</f>
        <v>5308</v>
      </c>
      <c r="U125" s="190">
        <f>Allemagne!W24</f>
        <v>4720</v>
      </c>
      <c r="V125" s="190">
        <f>Allemagne!X24</f>
        <v>4684</v>
      </c>
      <c r="W125" s="190">
        <f>Allemagne!Y24</f>
        <v>0</v>
      </c>
      <c r="X125" s="157">
        <f t="shared" si="1"/>
        <v>-0.007627118644067843</v>
      </c>
    </row>
    <row r="126" spans="1:24" ht="12.75">
      <c r="A126" s="80" t="s">
        <v>112</v>
      </c>
      <c r="B126" s="83">
        <v>30639</v>
      </c>
      <c r="C126" s="83">
        <v>38410</v>
      </c>
      <c r="D126" s="83">
        <v>30585</v>
      </c>
      <c r="E126" s="83">
        <v>25970</v>
      </c>
      <c r="F126" s="83">
        <v>27003</v>
      </c>
      <c r="G126" s="83">
        <v>25638</v>
      </c>
      <c r="H126" s="83">
        <f>Danemark!J24</f>
        <v>34870</v>
      </c>
      <c r="I126" s="83">
        <f>Danemark!K24</f>
        <v>36562</v>
      </c>
      <c r="J126" s="83">
        <f>Danemark!L24</f>
        <v>36393</v>
      </c>
      <c r="K126" s="80">
        <f>Danemark!M24</f>
        <v>37558</v>
      </c>
      <c r="L126" s="80">
        <f>Danemark!N24</f>
        <v>30349</v>
      </c>
      <c r="M126" s="80">
        <f>Danemark!O24</f>
        <v>29484</v>
      </c>
      <c r="N126" s="80">
        <f>Danemark!P24</f>
        <v>34530</v>
      </c>
      <c r="O126" s="80">
        <f>Danemark!Q24</f>
        <v>23507</v>
      </c>
      <c r="P126" s="174">
        <f>Danemark!R24</f>
        <v>25947</v>
      </c>
      <c r="Q126" s="192">
        <f>Danemark!S24</f>
        <v>34845</v>
      </c>
      <c r="R126" s="192">
        <f>Danemark!T24</f>
        <v>38056</v>
      </c>
      <c r="S126" s="192">
        <f>Danemark!U24</f>
        <v>35581</v>
      </c>
      <c r="T126" s="192">
        <f>Danemark!V24</f>
        <v>26525</v>
      </c>
      <c r="U126" s="192">
        <f>Danemark!W24</f>
        <v>24074</v>
      </c>
      <c r="V126" s="192">
        <f>Danemark!X24</f>
        <v>25956</v>
      </c>
      <c r="W126" s="192">
        <f>Danemark!Y24</f>
        <v>0</v>
      </c>
      <c r="X126" s="157">
        <f t="shared" si="1"/>
        <v>0.0781756251557697</v>
      </c>
    </row>
    <row r="127" spans="1:24" ht="12.75">
      <c r="A127" s="69" t="s">
        <v>108</v>
      </c>
      <c r="B127" s="72">
        <v>5636</v>
      </c>
      <c r="C127" s="72">
        <v>6140</v>
      </c>
      <c r="D127" s="72">
        <v>6140</v>
      </c>
      <c r="E127" s="72">
        <f>4530+2124</f>
        <v>6654</v>
      </c>
      <c r="F127" s="72">
        <f>4198+2261</f>
        <v>6459</v>
      </c>
      <c r="G127" s="72">
        <f>2304+3019</f>
        <v>5323</v>
      </c>
      <c r="H127" s="72">
        <f>France!J25</f>
        <v>7432</v>
      </c>
      <c r="I127" s="72">
        <f>France!K25</f>
        <v>8809</v>
      </c>
      <c r="J127" s="72">
        <f>France!L25</f>
        <v>9248</v>
      </c>
      <c r="K127" s="103">
        <f>France!M25</f>
        <v>8435</v>
      </c>
      <c r="L127" s="103">
        <f>France!N25</f>
        <v>6971</v>
      </c>
      <c r="M127" s="103">
        <f>France!O25</f>
        <v>4328</v>
      </c>
      <c r="N127" s="103">
        <f>France!P25</f>
        <v>4266</v>
      </c>
      <c r="O127" s="103">
        <f>France!Q25</f>
        <v>3589</v>
      </c>
      <c r="P127" s="226">
        <f>France!R25</f>
        <v>3604</v>
      </c>
      <c r="Q127" s="194">
        <f>France!S25</f>
        <v>3210</v>
      </c>
      <c r="R127" s="194">
        <f>France!T25</f>
        <v>2157</v>
      </c>
      <c r="S127" s="194">
        <f>France!U25</f>
        <v>2064</v>
      </c>
      <c r="T127" s="194">
        <f>France!V25</f>
        <v>2154</v>
      </c>
      <c r="U127" s="194">
        <f>France!W25</f>
        <v>2546</v>
      </c>
      <c r="V127" s="194">
        <f>France!X25</f>
        <v>2636</v>
      </c>
      <c r="W127" s="194">
        <f>France!Y25</f>
        <v>2895</v>
      </c>
      <c r="X127" s="157">
        <f t="shared" si="1"/>
        <v>0.0353495679497251</v>
      </c>
    </row>
    <row r="128" spans="1:24" ht="12.75">
      <c r="A128" s="7" t="s">
        <v>114</v>
      </c>
      <c r="B128" s="6">
        <v>16794</v>
      </c>
      <c r="C128" s="6">
        <v>20495</v>
      </c>
      <c r="D128" s="6">
        <v>10825</v>
      </c>
      <c r="E128" s="6">
        <v>13904</v>
      </c>
      <c r="F128" s="6">
        <v>12087</v>
      </c>
      <c r="G128" s="6">
        <v>9109</v>
      </c>
      <c r="H128" s="6">
        <f>'Pays-Bas'!J24</f>
        <v>13625</v>
      </c>
      <c r="I128" s="6">
        <f>'Pays-Bas'!K24</f>
        <v>17020</v>
      </c>
      <c r="J128" s="5">
        <f>'Pays-Bas'!L24</f>
        <v>20322</v>
      </c>
      <c r="K128" s="38">
        <f>'Pays-Bas'!M24</f>
        <v>17650</v>
      </c>
      <c r="L128" s="38">
        <f>'Pays-Bas'!N24</f>
        <v>13617</v>
      </c>
      <c r="M128" s="38">
        <f>'Pays-Bas'!O24</f>
        <v>10004</v>
      </c>
      <c r="N128" s="38">
        <f>'Pays-Bas'!P24</f>
        <v>11051</v>
      </c>
      <c r="O128" s="38">
        <f>'Pays-Bas'!Q24</f>
        <v>8497</v>
      </c>
      <c r="P128" s="65">
        <f>'Pays-Bas'!R24</f>
        <v>7158</v>
      </c>
      <c r="Q128" s="190">
        <f>'Pays-Bas'!S24</f>
        <v>10506</v>
      </c>
      <c r="R128" s="190">
        <f>'Pays-Bas'!T24</f>
        <v>9142</v>
      </c>
      <c r="S128" s="190">
        <f>'Pays-Bas'!U24</f>
        <v>9099</v>
      </c>
      <c r="T128" s="190">
        <f>'Pays-Bas'!V24</f>
        <v>9828</v>
      </c>
      <c r="U128" s="190">
        <f>'Pays-Bas'!W24</f>
        <v>9542</v>
      </c>
      <c r="V128" s="190">
        <f>'Pays-Bas'!X24</f>
        <v>0</v>
      </c>
      <c r="W128" s="190">
        <f>'Pays-Bas'!Y24</f>
        <v>0</v>
      </c>
      <c r="X128" s="157">
        <f t="shared" si="1"/>
        <v>-1</v>
      </c>
    </row>
    <row r="129" spans="1:24" ht="12.75">
      <c r="A129" s="7" t="s">
        <v>122</v>
      </c>
      <c r="B129" s="6">
        <v>346</v>
      </c>
      <c r="C129" s="6">
        <v>392</v>
      </c>
      <c r="D129" s="6">
        <v>414</v>
      </c>
      <c r="E129" s="6">
        <v>414</v>
      </c>
      <c r="F129" s="6">
        <v>462</v>
      </c>
      <c r="G129" s="6">
        <v>537</v>
      </c>
      <c r="H129" s="6">
        <f>Suède!J24</f>
        <v>562</v>
      </c>
      <c r="I129" s="6">
        <f>Suède!K24</f>
        <v>814</v>
      </c>
      <c r="J129" s="5">
        <f>Suède!L24</f>
        <v>818</v>
      </c>
      <c r="K129" s="105">
        <f>Suède!M24</f>
        <v>817</v>
      </c>
      <c r="L129" s="105">
        <f>Suède!N24</f>
        <v>562</v>
      </c>
      <c r="M129" s="105">
        <f>Suède!O24</f>
        <v>660</v>
      </c>
      <c r="N129" s="105">
        <f>Suède!P24</f>
        <v>650</v>
      </c>
      <c r="O129" s="105">
        <f>Suède!Q24</f>
        <v>738</v>
      </c>
      <c r="P129" s="65">
        <f>Suède!R24</f>
        <v>714</v>
      </c>
      <c r="Q129" s="228">
        <f>Suède!S24</f>
        <v>788</v>
      </c>
      <c r="R129" s="228">
        <f>Suède!T24</f>
        <v>755</v>
      </c>
      <c r="S129" s="228">
        <f>Suède!U24</f>
        <v>745</v>
      </c>
      <c r="T129" s="228">
        <f>Suède!V24</f>
        <v>395</v>
      </c>
      <c r="U129" s="228">
        <f>Suède!W24</f>
        <v>428.6</v>
      </c>
      <c r="V129" s="228">
        <f>Suède!X24</f>
        <v>419.1</v>
      </c>
      <c r="W129" s="228">
        <f>Suède!Y24</f>
        <v>451</v>
      </c>
      <c r="X129" s="157">
        <f t="shared" si="1"/>
        <v>-0.02216518898740083</v>
      </c>
    </row>
    <row r="130" spans="1:24" ht="12.75">
      <c r="A130" s="7" t="s">
        <v>116</v>
      </c>
      <c r="B130" s="6">
        <v>8987</v>
      </c>
      <c r="C130" s="6">
        <v>8760</v>
      </c>
      <c r="D130" s="6">
        <v>6269</v>
      </c>
      <c r="E130" s="6">
        <v>5117</v>
      </c>
      <c r="F130" s="6">
        <v>5257</v>
      </c>
      <c r="G130" s="6">
        <v>4687</v>
      </c>
      <c r="H130" s="6">
        <f>UK!J24</f>
        <v>5000</v>
      </c>
      <c r="I130" s="6">
        <f>UK!K24</f>
        <v>4911.7</v>
      </c>
      <c r="J130" s="95">
        <f>UK!L24</f>
        <v>4730.9</v>
      </c>
      <c r="K130" s="105">
        <f>UK!M24</f>
        <v>4595.6</v>
      </c>
      <c r="L130" s="105">
        <f>UK!N24</f>
        <v>4630.4</v>
      </c>
      <c r="M130" s="105">
        <f>UK!O24</f>
        <v>4034</v>
      </c>
      <c r="N130" s="105">
        <f>UK!P24</f>
        <v>4035</v>
      </c>
      <c r="O130" s="105">
        <f>UK!Q24</f>
        <v>3877</v>
      </c>
      <c r="P130" s="65">
        <f>UK!R24</f>
        <v>4104</v>
      </c>
      <c r="Q130" s="228">
        <f>UK!S24</f>
        <v>4632</v>
      </c>
      <c r="R130" s="228">
        <f>UK!T24</f>
        <v>4888</v>
      </c>
      <c r="S130" s="228">
        <f>UK!U24</f>
        <v>5111</v>
      </c>
      <c r="T130" s="228">
        <f>UK!V24</f>
        <v>4795.2</v>
      </c>
      <c r="U130" s="228">
        <f>UK!W24</f>
        <v>5086.2</v>
      </c>
      <c r="V130" s="228">
        <f>UK!X24</f>
        <v>4731.099999999999</v>
      </c>
      <c r="W130" s="228">
        <f>UK!Y24</f>
        <v>5058.5</v>
      </c>
      <c r="X130" s="157">
        <f t="shared" si="1"/>
        <v>-0.06981636585269957</v>
      </c>
    </row>
    <row r="131" spans="1:24" ht="12.75">
      <c r="A131" s="349" t="s">
        <v>201</v>
      </c>
      <c r="L131" s="33"/>
      <c r="Q131" s="240">
        <f>+'Rep Tcheque'!S24</f>
        <v>1090</v>
      </c>
      <c r="R131" s="240">
        <f>+'Rep Tcheque'!T24</f>
        <v>1317</v>
      </c>
      <c r="S131" s="240">
        <f>+'Rep Tcheque'!U24</f>
        <v>916</v>
      </c>
      <c r="T131" s="240">
        <f>+'Rep Tcheque'!V24</f>
        <v>773</v>
      </c>
      <c r="U131" s="240">
        <f>+'Rep Tcheque'!W24</f>
        <v>988</v>
      </c>
      <c r="X131" s="290"/>
    </row>
    <row r="132" spans="1:24" ht="12.75">
      <c r="A132" s="349" t="s">
        <v>202</v>
      </c>
      <c r="Q132" s="240">
        <f>+Pologne!S24</f>
        <v>4406</v>
      </c>
      <c r="R132" s="240">
        <f>+Pologne!T24</f>
        <v>4891</v>
      </c>
      <c r="S132" s="240">
        <f>+Pologne!U24</f>
        <v>6257</v>
      </c>
      <c r="T132" s="240">
        <f>+Pologne!V24</f>
        <v>6862</v>
      </c>
      <c r="U132" s="240">
        <f>+Pologne!W24</f>
        <v>6852</v>
      </c>
      <c r="X132" s="290"/>
    </row>
    <row r="133" spans="1:24" ht="15.75">
      <c r="A133" s="159" t="s">
        <v>134</v>
      </c>
      <c r="B133" s="60">
        <v>1997</v>
      </c>
      <c r="C133" s="60">
        <v>1998</v>
      </c>
      <c r="D133" s="60">
        <v>1999</v>
      </c>
      <c r="E133" s="60">
        <v>2000</v>
      </c>
      <c r="F133" s="60">
        <v>2001</v>
      </c>
      <c r="G133" s="60">
        <v>2002</v>
      </c>
      <c r="H133" s="178">
        <v>2003</v>
      </c>
      <c r="I133" s="178">
        <v>2004</v>
      </c>
      <c r="J133" s="178">
        <v>2005</v>
      </c>
      <c r="K133" s="179">
        <v>2006</v>
      </c>
      <c r="L133" s="178">
        <v>2007</v>
      </c>
      <c r="M133" s="180">
        <v>2008</v>
      </c>
      <c r="N133" s="178">
        <v>2009</v>
      </c>
      <c r="O133" s="178">
        <v>2010</v>
      </c>
      <c r="P133" s="225">
        <v>2011</v>
      </c>
      <c r="Q133" s="178">
        <v>2012</v>
      </c>
      <c r="R133" s="178">
        <v>2013</v>
      </c>
      <c r="S133" s="178">
        <v>2014</v>
      </c>
      <c r="T133" s="178">
        <v>2015</v>
      </c>
      <c r="U133" s="178">
        <v>2016</v>
      </c>
      <c r="V133" s="178">
        <v>2017</v>
      </c>
      <c r="W133" s="350" t="s">
        <v>204</v>
      </c>
      <c r="X133" s="178" t="s">
        <v>205</v>
      </c>
    </row>
    <row r="134" spans="1:24" ht="12.75">
      <c r="A134" s="38" t="s">
        <v>111</v>
      </c>
      <c r="B134" s="6">
        <v>242</v>
      </c>
      <c r="C134" s="6">
        <v>382</v>
      </c>
      <c r="D134" s="6">
        <v>370</v>
      </c>
      <c r="E134" s="6">
        <v>351</v>
      </c>
      <c r="F134" s="6">
        <v>174</v>
      </c>
      <c r="G134" s="6">
        <v>54</v>
      </c>
      <c r="H134" s="6">
        <f>Allemagne!J23</f>
        <v>130</v>
      </c>
      <c r="I134" s="90">
        <f>Allemagne!K23</f>
        <v>146</v>
      </c>
      <c r="J134" s="6">
        <f>Allemagne!L23</f>
        <v>434</v>
      </c>
      <c r="K134" s="38">
        <f>Allemagne!M23</f>
        <v>447</v>
      </c>
      <c r="L134" s="38">
        <f>Allemagne!N23</f>
        <v>595</v>
      </c>
      <c r="M134" s="38">
        <f>Allemagne!O23</f>
        <v>611</v>
      </c>
      <c r="N134" s="38">
        <f>Allemagne!P23</f>
        <v>578</v>
      </c>
      <c r="O134" s="38">
        <f>Allemagne!Q23</f>
        <v>310</v>
      </c>
      <c r="P134" s="65">
        <f>Allemagne!R23</f>
        <v>420</v>
      </c>
      <c r="Q134" s="190">
        <f>Allemagne!S23</f>
        <v>455</v>
      </c>
      <c r="R134" s="190">
        <f>Allemagne!T23</f>
        <v>454</v>
      </c>
      <c r="S134" s="190">
        <f>Allemagne!U23</f>
        <v>416</v>
      </c>
      <c r="T134" s="190">
        <f>Allemagne!V23</f>
        <v>475</v>
      </c>
      <c r="U134" s="190">
        <f>Allemagne!W23</f>
        <v>372</v>
      </c>
      <c r="V134" s="190">
        <f>Allemagne!X23</f>
        <v>537</v>
      </c>
      <c r="W134" s="190">
        <f>Allemagne!Y23</f>
        <v>0</v>
      </c>
      <c r="X134" s="157">
        <f aca="true" t="shared" si="2" ref="X134:X179">V134/U134-1</f>
        <v>0.44354838709677424</v>
      </c>
    </row>
    <row r="135" spans="1:24" ht="12.75">
      <c r="A135" s="80" t="s">
        <v>112</v>
      </c>
      <c r="B135" s="83">
        <v>933</v>
      </c>
      <c r="C135" s="83">
        <v>1681</v>
      </c>
      <c r="D135" s="83">
        <v>1523</v>
      </c>
      <c r="E135" s="83">
        <v>840</v>
      </c>
      <c r="F135" s="83">
        <v>373</v>
      </c>
      <c r="G135" s="83">
        <v>246</v>
      </c>
      <c r="H135" s="83">
        <f>Danemark!J25</f>
        <v>667</v>
      </c>
      <c r="I135" s="83">
        <f>Danemark!K25</f>
        <v>1037</v>
      </c>
      <c r="J135" s="83">
        <f>Danemark!L25</f>
        <v>1438</v>
      </c>
      <c r="K135" s="80">
        <f>Danemark!M25</f>
        <v>1403</v>
      </c>
      <c r="L135" s="80">
        <f>Danemark!N25</f>
        <v>1311</v>
      </c>
      <c r="M135" s="80">
        <f>Danemark!O25</f>
        <v>1004</v>
      </c>
      <c r="N135" s="80">
        <f>Danemark!P25</f>
        <v>828</v>
      </c>
      <c r="O135" s="80">
        <f>Danemark!Q25</f>
        <v>438</v>
      </c>
      <c r="P135" s="174">
        <f>Danemark!R25</f>
        <v>397</v>
      </c>
      <c r="Q135" s="192">
        <f>Danemark!S25</f>
        <v>697</v>
      </c>
      <c r="R135" s="192">
        <f>Danemark!T25</f>
        <v>774</v>
      </c>
      <c r="S135" s="192">
        <f>Danemark!U25</f>
        <v>913</v>
      </c>
      <c r="T135" s="192">
        <f>Danemark!V25</f>
        <v>694</v>
      </c>
      <c r="U135" s="192">
        <f>Danemark!W25</f>
        <v>302</v>
      </c>
      <c r="V135" s="192">
        <f>Danemark!X25</f>
        <v>352</v>
      </c>
      <c r="W135" s="192">
        <f>Danemark!Y25</f>
        <v>0</v>
      </c>
      <c r="X135" s="157">
        <f t="shared" si="2"/>
        <v>0.16556291390728473</v>
      </c>
    </row>
    <row r="136" spans="1:24" ht="12.75">
      <c r="A136" s="69" t="s">
        <v>108</v>
      </c>
      <c r="B136" s="72">
        <v>1088</v>
      </c>
      <c r="C136" s="72">
        <v>1383</v>
      </c>
      <c r="D136" s="72">
        <v>2108</v>
      </c>
      <c r="E136" s="72">
        <v>1049</v>
      </c>
      <c r="F136" s="72">
        <v>731</v>
      </c>
      <c r="G136" s="72">
        <v>609</v>
      </c>
      <c r="H136" s="72">
        <f>France!J26</f>
        <v>991</v>
      </c>
      <c r="I136" s="72">
        <f>France!K26</f>
        <v>1237</v>
      </c>
      <c r="J136" s="72">
        <f>France!L26</f>
        <v>1773</v>
      </c>
      <c r="K136" s="103">
        <f>France!M26</f>
        <v>1918</v>
      </c>
      <c r="L136" s="103">
        <f>France!N26</f>
        <v>1746</v>
      </c>
      <c r="M136" s="103">
        <f>France!O26</f>
        <v>1389</v>
      </c>
      <c r="N136" s="103">
        <f>France!P26</f>
        <v>1006</v>
      </c>
      <c r="O136" s="103">
        <f>France!Q26</f>
        <v>489</v>
      </c>
      <c r="P136" s="226">
        <f>France!R26</f>
        <v>739</v>
      </c>
      <c r="Q136" s="194">
        <f>France!S26</f>
        <v>1347</v>
      </c>
      <c r="R136" s="194">
        <f>France!T26</f>
        <v>1356</v>
      </c>
      <c r="S136" s="194">
        <f>France!U26</f>
        <v>808</v>
      </c>
      <c r="T136" s="194">
        <f>France!V26</f>
        <v>1543</v>
      </c>
      <c r="U136" s="194">
        <f>France!W26</f>
        <v>1131</v>
      </c>
      <c r="V136" s="194">
        <f>France!X26</f>
        <v>1212</v>
      </c>
      <c r="W136" s="194">
        <f>France!Y26</f>
        <v>1270</v>
      </c>
      <c r="X136" s="157">
        <f t="shared" si="2"/>
        <v>0.07161803713527859</v>
      </c>
    </row>
    <row r="137" spans="1:24" ht="12.75">
      <c r="A137" s="7" t="s">
        <v>114</v>
      </c>
      <c r="B137" s="6">
        <v>99</v>
      </c>
      <c r="C137" s="6">
        <v>194</v>
      </c>
      <c r="D137" s="6">
        <v>287</v>
      </c>
      <c r="E137" s="6">
        <v>310</v>
      </c>
      <c r="F137" s="6">
        <v>103</v>
      </c>
      <c r="G137" s="6">
        <v>52</v>
      </c>
      <c r="H137" s="6">
        <f>'Pays-Bas'!J25</f>
        <v>25</v>
      </c>
      <c r="I137" s="5">
        <f>'Pays-Bas'!K25</f>
        <v>71</v>
      </c>
      <c r="J137" s="5">
        <f>'Pays-Bas'!L25</f>
        <v>146</v>
      </c>
      <c r="K137" s="7">
        <f>'Pays-Bas'!M25</f>
        <v>270</v>
      </c>
      <c r="L137" s="7">
        <f>'Pays-Bas'!N25</f>
        <v>396</v>
      </c>
      <c r="M137" s="7">
        <f>'Pays-Bas'!O25</f>
        <v>263</v>
      </c>
      <c r="N137" s="7">
        <f>'Pays-Bas'!P25</f>
        <v>214</v>
      </c>
      <c r="O137" s="7">
        <f>'Pays-Bas'!Q25</f>
        <v>96</v>
      </c>
      <c r="P137" s="89">
        <f>'Pays-Bas'!R25</f>
        <v>113</v>
      </c>
      <c r="Q137" s="196">
        <f>'Pays-Bas'!S25</f>
        <v>254</v>
      </c>
      <c r="R137" s="196">
        <f>'Pays-Bas'!T25</f>
        <v>263</v>
      </c>
      <c r="S137" s="196">
        <f>'Pays-Bas'!U25</f>
        <v>283</v>
      </c>
      <c r="T137" s="196">
        <f>'Pays-Bas'!V25</f>
        <v>275</v>
      </c>
      <c r="U137" s="196">
        <f>'Pays-Bas'!W25</f>
        <v>263</v>
      </c>
      <c r="V137" s="196">
        <f>'Pays-Bas'!X25</f>
        <v>0</v>
      </c>
      <c r="W137" s="196">
        <f>'Pays-Bas'!Y25</f>
        <v>0</v>
      </c>
      <c r="X137" s="157">
        <f t="shared" si="2"/>
        <v>-1</v>
      </c>
    </row>
    <row r="138" spans="1:24" ht="12.75">
      <c r="A138" s="7" t="s">
        <v>122</v>
      </c>
      <c r="B138" s="6"/>
      <c r="C138" s="6"/>
      <c r="D138" s="6"/>
      <c r="E138" s="6"/>
      <c r="F138" s="6"/>
      <c r="G138" s="6"/>
      <c r="H138" s="6"/>
      <c r="I138" s="5"/>
      <c r="J138" s="5"/>
      <c r="K138" s="7"/>
      <c r="L138" s="7"/>
      <c r="M138" s="7"/>
      <c r="N138" s="7"/>
      <c r="O138" s="7"/>
      <c r="P138" s="89"/>
      <c r="Q138" s="196">
        <f>Suède!S25</f>
        <v>0</v>
      </c>
      <c r="R138" s="196">
        <f>Suède!T25</f>
        <v>0</v>
      </c>
      <c r="S138" s="196">
        <f>Suède!U25</f>
        <v>0</v>
      </c>
      <c r="T138" s="196">
        <f>Suède!V25</f>
        <v>0</v>
      </c>
      <c r="U138" s="196">
        <f>Suède!W25</f>
        <v>0</v>
      </c>
      <c r="V138" s="196">
        <f>Suède!X25</f>
        <v>32.9</v>
      </c>
      <c r="W138" s="196">
        <f>Suède!Y25</f>
        <v>0</v>
      </c>
      <c r="X138" s="157"/>
    </row>
    <row r="139" spans="1:24" ht="12.75">
      <c r="A139" s="7" t="s">
        <v>116</v>
      </c>
      <c r="B139" s="6">
        <v>662</v>
      </c>
      <c r="C139" s="6">
        <v>968</v>
      </c>
      <c r="D139" s="6">
        <v>930</v>
      </c>
      <c r="E139" s="6">
        <v>666</v>
      </c>
      <c r="F139" s="6">
        <v>527</v>
      </c>
      <c r="G139" s="6">
        <v>444</v>
      </c>
      <c r="H139" s="6">
        <f>UK!J25</f>
        <v>377</v>
      </c>
      <c r="I139" s="6">
        <f>UK!K25</f>
        <v>550.2</v>
      </c>
      <c r="J139" s="95">
        <f>UK!L25</f>
        <v>539.2</v>
      </c>
      <c r="K139" s="105">
        <f>UK!M25</f>
        <v>393.6</v>
      </c>
      <c r="L139" s="105">
        <f>UK!N25</f>
        <v>424</v>
      </c>
      <c r="M139" s="105">
        <f>UK!O25</f>
        <v>393</v>
      </c>
      <c r="N139" s="105">
        <f>UK!P25</f>
        <v>488</v>
      </c>
      <c r="O139" s="105">
        <f>UK!Q25</f>
        <v>547</v>
      </c>
      <c r="P139" s="65">
        <f>UK!R25</f>
        <v>498</v>
      </c>
      <c r="Q139" s="228">
        <f>UK!S25</f>
        <v>641</v>
      </c>
      <c r="R139" s="228">
        <f>UK!T25</f>
        <v>699</v>
      </c>
      <c r="S139" s="228">
        <f>UK!U25</f>
        <v>613</v>
      </c>
      <c r="T139" s="228">
        <f>UK!V25</f>
        <v>636.9</v>
      </c>
      <c r="U139" s="228">
        <f>UK!W25</f>
        <v>735</v>
      </c>
      <c r="V139" s="228">
        <f>UK!X25</f>
        <v>537.5</v>
      </c>
      <c r="W139" s="228">
        <f>UK!Y25</f>
        <v>578.4000000000001</v>
      </c>
      <c r="X139" s="157">
        <f t="shared" si="2"/>
        <v>-0.26870748299319724</v>
      </c>
    </row>
    <row r="140" ht="12.75">
      <c r="X140" s="290"/>
    </row>
    <row r="141" ht="12.75">
      <c r="X141" s="290"/>
    </row>
    <row r="142" spans="1:24" ht="15.75">
      <c r="A142" s="159" t="s">
        <v>135</v>
      </c>
      <c r="B142" s="60">
        <v>1997</v>
      </c>
      <c r="C142" s="60">
        <v>1998</v>
      </c>
      <c r="D142" s="60">
        <v>1999</v>
      </c>
      <c r="E142" s="60">
        <v>2000</v>
      </c>
      <c r="F142" s="60">
        <v>2001</v>
      </c>
      <c r="G142" s="60">
        <v>2002</v>
      </c>
      <c r="H142" s="178">
        <v>2003</v>
      </c>
      <c r="I142" s="178">
        <v>2004</v>
      </c>
      <c r="J142" s="178">
        <v>2005</v>
      </c>
      <c r="K142" s="179">
        <v>2006</v>
      </c>
      <c r="L142" s="178">
        <v>2007</v>
      </c>
      <c r="M142" s="180">
        <v>2008</v>
      </c>
      <c r="N142" s="178">
        <v>2009</v>
      </c>
      <c r="O142" s="178">
        <v>2010</v>
      </c>
      <c r="P142" s="225">
        <v>2011</v>
      </c>
      <c r="Q142" s="178">
        <v>2012</v>
      </c>
      <c r="R142" s="178">
        <v>2013</v>
      </c>
      <c r="S142" s="178">
        <v>2014</v>
      </c>
      <c r="T142" s="178">
        <v>2015</v>
      </c>
      <c r="U142" s="178">
        <v>2016</v>
      </c>
      <c r="V142" s="178">
        <v>2017</v>
      </c>
      <c r="W142" s="350" t="s">
        <v>204</v>
      </c>
      <c r="X142" s="178" t="s">
        <v>205</v>
      </c>
    </row>
    <row r="143" spans="1:24" ht="12.75">
      <c r="A143" s="38" t="s">
        <v>119</v>
      </c>
      <c r="B143" s="6">
        <v>2074</v>
      </c>
      <c r="C143" s="6">
        <v>2843</v>
      </c>
      <c r="D143" s="6">
        <v>2389</v>
      </c>
      <c r="E143" s="6">
        <v>1915</v>
      </c>
      <c r="F143" s="6">
        <v>1547</v>
      </c>
      <c r="G143" s="6">
        <v>1433</v>
      </c>
      <c r="H143" s="6">
        <f>Belgique!J25</f>
        <v>1974</v>
      </c>
      <c r="I143" s="6">
        <f>Belgique!K25</f>
        <v>2091</v>
      </c>
      <c r="J143" s="6">
        <f>Belgique!L25</f>
        <v>2166</v>
      </c>
      <c r="K143" s="38">
        <f>Belgique!M25</f>
        <v>1907</v>
      </c>
      <c r="L143" s="38">
        <f>Belgique!N25</f>
        <v>1808</v>
      </c>
      <c r="M143" s="38">
        <f>Belgique!O25</f>
        <v>1468</v>
      </c>
      <c r="N143" s="38">
        <f>Belgique!P25</f>
        <v>2428</v>
      </c>
      <c r="O143" s="38">
        <f>Belgique!Q25</f>
        <v>1755</v>
      </c>
      <c r="P143" s="65">
        <f>Belgique!R25</f>
        <v>1854</v>
      </c>
      <c r="Q143" s="190">
        <f>Belgique!S25</f>
        <v>2277</v>
      </c>
      <c r="R143" s="190">
        <f>Belgique!T25</f>
        <v>1952.61</v>
      </c>
      <c r="S143" s="190">
        <f>Belgique!U25</f>
        <v>1853</v>
      </c>
      <c r="T143" s="190">
        <f>Belgique!V25</f>
        <v>1856</v>
      </c>
      <c r="U143" s="190">
        <f>Belgique!W25</f>
        <v>1796</v>
      </c>
      <c r="V143" s="190">
        <f>Belgique!X25</f>
        <v>2064</v>
      </c>
      <c r="W143" s="190">
        <f>Belgique!Y25</f>
        <v>2445</v>
      </c>
      <c r="X143" s="157">
        <f t="shared" si="2"/>
        <v>0.1492204899777283</v>
      </c>
    </row>
    <row r="144" spans="1:24" ht="12.75">
      <c r="A144" s="38" t="s">
        <v>111</v>
      </c>
      <c r="B144" s="33">
        <v>15305</v>
      </c>
      <c r="C144" s="33">
        <v>16336</v>
      </c>
      <c r="D144" s="33">
        <v>13984</v>
      </c>
      <c r="E144" s="33">
        <v>8517</v>
      </c>
      <c r="F144" s="33">
        <v>8366</v>
      </c>
      <c r="G144" s="33">
        <v>8783</v>
      </c>
      <c r="H144" s="33">
        <f>Allemagne!J25+Allemagne!J26</f>
        <v>11317</v>
      </c>
      <c r="I144" s="33">
        <f>Allemagne!K25+Allemagne!K26</f>
        <v>14905</v>
      </c>
      <c r="J144" s="33">
        <f>Allemagne!L25+Allemagne!L26</f>
        <v>16095</v>
      </c>
      <c r="K144" s="33">
        <f>Allemagne!M25+Allemagne!M26</f>
        <v>13599</v>
      </c>
      <c r="L144" s="33">
        <f>Allemagne!N25+Allemagne!N26</f>
        <v>11817</v>
      </c>
      <c r="M144" s="33">
        <f>Allemagne!O25+Allemagne!O26</f>
        <v>11243</v>
      </c>
      <c r="N144" s="33">
        <f>Allemagne!P25+Allemagne!P26</f>
        <v>13507</v>
      </c>
      <c r="O144" s="33">
        <f>Allemagne!Q25+Allemagne!Q26</f>
        <v>11681</v>
      </c>
      <c r="P144" s="65">
        <f>Allemagne!R25+Allemagne!R26</f>
        <v>12735</v>
      </c>
      <c r="Q144" s="190">
        <f>Allemagne!S25+Allemagne!S26</f>
        <v>14127</v>
      </c>
      <c r="R144" s="190">
        <f>Allemagne!T25+Allemagne!T26</f>
        <v>12408</v>
      </c>
      <c r="S144" s="190">
        <f>Allemagne!U25+Allemagne!U26</f>
        <v>12259</v>
      </c>
      <c r="T144" s="190">
        <f>Allemagne!V25+Allemagne!V26</f>
        <v>11523</v>
      </c>
      <c r="U144" s="190">
        <f>Allemagne!W25+Allemagne!W26</f>
        <v>12395</v>
      </c>
      <c r="V144" s="190">
        <f>Allemagne!X25+Allemagne!X26</f>
        <v>11857</v>
      </c>
      <c r="W144" s="190">
        <f>Allemagne!Y25+Allemagne!Y26</f>
        <v>0</v>
      </c>
      <c r="X144" s="157">
        <f t="shared" si="2"/>
        <v>-0.04340459862847923</v>
      </c>
    </row>
    <row r="145" spans="1:24" ht="12.75">
      <c r="A145" s="80" t="s">
        <v>112</v>
      </c>
      <c r="B145" s="83">
        <v>3759</v>
      </c>
      <c r="C145" s="83">
        <v>5484</v>
      </c>
      <c r="D145" s="83">
        <v>4104</v>
      </c>
      <c r="E145" s="83">
        <v>2816</v>
      </c>
      <c r="F145" s="83">
        <v>1970</v>
      </c>
      <c r="G145" s="83">
        <v>1596</v>
      </c>
      <c r="H145" s="83">
        <v>2315</v>
      </c>
      <c r="I145" s="83">
        <v>2642</v>
      </c>
      <c r="J145" s="83">
        <f>Danemark!L26</f>
        <v>2612</v>
      </c>
      <c r="K145" s="83">
        <f>Danemark!M26</f>
        <v>2275</v>
      </c>
      <c r="L145" s="83">
        <f>Danemark!N26</f>
        <v>1624</v>
      </c>
      <c r="M145" s="83">
        <f>Danemark!O26</f>
        <v>1481</v>
      </c>
      <c r="N145" s="83">
        <f>Danemark!P26</f>
        <v>1458</v>
      </c>
      <c r="O145" s="80">
        <f>Danemark!Q26</f>
        <v>1314</v>
      </c>
      <c r="P145" s="174">
        <f>Danemark!R26</f>
        <v>1389</v>
      </c>
      <c r="Q145" s="192">
        <f>Danemark!S26</f>
        <v>1443</v>
      </c>
      <c r="R145" s="192">
        <f>Danemark!T26</f>
        <v>1283</v>
      </c>
      <c r="S145" s="192">
        <f>Danemark!U26</f>
        <v>1376</v>
      </c>
      <c r="T145" s="192">
        <f>Danemark!V26</f>
        <v>1102</v>
      </c>
      <c r="U145" s="192">
        <f>Danemark!W26</f>
        <v>818</v>
      </c>
      <c r="V145" s="192">
        <f>Danemark!X26</f>
        <v>1740</v>
      </c>
      <c r="W145" s="192">
        <f>Danemark!Y26</f>
        <v>0</v>
      </c>
      <c r="X145" s="157">
        <f t="shared" si="2"/>
        <v>1.1271393643031784</v>
      </c>
    </row>
    <row r="146" spans="1:24" ht="12.75">
      <c r="A146" s="69" t="s">
        <v>108</v>
      </c>
      <c r="B146" s="72">
        <v>5080</v>
      </c>
      <c r="C146" s="72">
        <v>5943</v>
      </c>
      <c r="D146" s="72">
        <v>5156</v>
      </c>
      <c r="E146" s="72">
        <v>2524</v>
      </c>
      <c r="F146" s="72">
        <v>1876</v>
      </c>
      <c r="G146" s="72">
        <v>2132</v>
      </c>
      <c r="H146" s="72">
        <f>France!J27</f>
        <v>3228</v>
      </c>
      <c r="I146" s="72">
        <f>France!K27</f>
        <v>4461</v>
      </c>
      <c r="J146" s="72">
        <f>France!L27</f>
        <v>4421</v>
      </c>
      <c r="K146" s="103">
        <f>France!M27</f>
        <v>3165</v>
      </c>
      <c r="L146" s="103">
        <f>France!N27</f>
        <v>2400</v>
      </c>
      <c r="M146" s="103">
        <f>France!O27</f>
        <v>2056</v>
      </c>
      <c r="N146" s="103">
        <f>France!P27</f>
        <v>2931</v>
      </c>
      <c r="O146" s="103">
        <f>France!Q27</f>
        <v>2760</v>
      </c>
      <c r="P146" s="226">
        <f>France!R27</f>
        <v>2716</v>
      </c>
      <c r="Q146" s="194">
        <f>France!S27</f>
        <v>3176</v>
      </c>
      <c r="R146" s="194">
        <f>France!T27</f>
        <v>2829</v>
      </c>
      <c r="S146" s="194">
        <f>France!U27</f>
        <v>3157</v>
      </c>
      <c r="T146" s="194">
        <f>France!V27</f>
        <v>1943</v>
      </c>
      <c r="U146" s="194">
        <f>France!W27</f>
        <v>2611</v>
      </c>
      <c r="V146" s="194">
        <f>France!X27</f>
        <v>2984</v>
      </c>
      <c r="W146" s="194">
        <f>France!Y27</f>
        <v>2933</v>
      </c>
      <c r="X146" s="157">
        <f t="shared" si="2"/>
        <v>0.1428571428571428</v>
      </c>
    </row>
    <row r="147" spans="1:24" ht="12.75">
      <c r="A147" t="s">
        <v>113</v>
      </c>
      <c r="B147" s="6">
        <v>3526</v>
      </c>
      <c r="C147" s="6">
        <v>4177</v>
      </c>
      <c r="D147" s="6">
        <v>4835</v>
      </c>
      <c r="E147" s="6">
        <v>2063</v>
      </c>
      <c r="F147" s="6">
        <v>2955</v>
      </c>
      <c r="G147" s="6">
        <v>2688</v>
      </c>
      <c r="H147" s="6">
        <f>Italie!J23</f>
        <v>2374.65</v>
      </c>
      <c r="I147" s="6">
        <f>Italie!K23</f>
        <v>4286</v>
      </c>
      <c r="J147" s="5">
        <f>Italie!L23</f>
        <v>4726</v>
      </c>
      <c r="K147" s="104">
        <f>Italie!M23</f>
        <v>5198.6</v>
      </c>
      <c r="L147" s="104">
        <f>Italie!N23</f>
        <v>3255.89</v>
      </c>
      <c r="M147" s="104">
        <f>Italie!O23</f>
        <v>3380</v>
      </c>
      <c r="N147" s="104">
        <f>Italie!P23</f>
        <v>4273.64</v>
      </c>
      <c r="O147" s="104">
        <f>Italie!Q23</f>
        <v>4258</v>
      </c>
      <c r="P147" s="227">
        <f>Italie!R23</f>
        <v>4730</v>
      </c>
      <c r="Q147" s="197">
        <f>Italie!S23</f>
        <v>4256</v>
      </c>
      <c r="R147" s="197">
        <f>Italie!T23</f>
        <v>4571</v>
      </c>
      <c r="S147" s="197">
        <f>Italie!U23</f>
        <v>4571</v>
      </c>
      <c r="T147" s="197">
        <f>Italie!V23</f>
        <v>3038</v>
      </c>
      <c r="U147" s="197">
        <f>Italie!W23</f>
        <v>3648</v>
      </c>
      <c r="V147" s="197">
        <f>Italie!X23</f>
        <v>3193</v>
      </c>
      <c r="W147" s="197">
        <f>Italie!Y23</f>
        <v>0</v>
      </c>
      <c r="X147" s="157">
        <f t="shared" si="2"/>
        <v>-0.12472587719298245</v>
      </c>
    </row>
    <row r="148" spans="1:24" ht="12.75">
      <c r="A148" s="7" t="s">
        <v>114</v>
      </c>
      <c r="B148" s="6">
        <v>3648</v>
      </c>
      <c r="C148" s="6">
        <v>3251</v>
      </c>
      <c r="D148" s="6">
        <v>960</v>
      </c>
      <c r="E148" s="6">
        <v>2141</v>
      </c>
      <c r="F148" s="6">
        <v>1844</v>
      </c>
      <c r="G148" s="6">
        <v>2105</v>
      </c>
      <c r="H148" s="6">
        <f>'Pays-Bas'!J26</f>
        <v>2896</v>
      </c>
      <c r="I148" s="6">
        <f>'Pays-Bas'!K26</f>
        <v>2595</v>
      </c>
      <c r="J148" s="5">
        <f>'Pays-Bas'!L26</f>
        <v>1656</v>
      </c>
      <c r="K148" s="38">
        <f>'Pays-Bas'!M26</f>
        <v>2100</v>
      </c>
      <c r="L148" s="38">
        <f>'Pays-Bas'!N26</f>
        <v>1567</v>
      </c>
      <c r="M148" s="38">
        <f>'Pays-Bas'!O26</f>
        <v>1347</v>
      </c>
      <c r="N148" s="38">
        <f>'Pays-Bas'!P26</f>
        <v>1673</v>
      </c>
      <c r="O148" s="38">
        <f>'Pays-Bas'!Q26</f>
        <v>804</v>
      </c>
      <c r="P148" s="65">
        <f>'Pays-Bas'!R26</f>
        <v>1271</v>
      </c>
      <c r="Q148" s="190">
        <f>'Pays-Bas'!S26</f>
        <v>1662</v>
      </c>
      <c r="R148" s="190">
        <f>'Pays-Bas'!T26</f>
        <v>1337</v>
      </c>
      <c r="S148" s="190">
        <f>'Pays-Bas'!U26</f>
        <v>809</v>
      </c>
      <c r="T148" s="190">
        <f>'Pays-Bas'!V26</f>
        <v>611</v>
      </c>
      <c r="U148" s="190">
        <f>'Pays-Bas'!W26</f>
        <v>803</v>
      </c>
      <c r="V148" s="190">
        <f>'Pays-Bas'!X26</f>
        <v>0</v>
      </c>
      <c r="W148" s="190">
        <f>'Pays-Bas'!Y26</f>
        <v>0</v>
      </c>
      <c r="X148" s="157">
        <f t="shared" si="2"/>
        <v>-1</v>
      </c>
    </row>
    <row r="149" spans="1:24" ht="12.75">
      <c r="A149" s="7" t="s">
        <v>122</v>
      </c>
      <c r="B149" s="6">
        <v>1141</v>
      </c>
      <c r="C149" s="6">
        <v>1463</v>
      </c>
      <c r="D149" s="6">
        <v>1137</v>
      </c>
      <c r="E149" s="6">
        <v>657</v>
      </c>
      <c r="F149" s="6">
        <v>397</v>
      </c>
      <c r="G149" s="6">
        <v>339</v>
      </c>
      <c r="H149" s="6">
        <f>Suède!J26</f>
        <v>288</v>
      </c>
      <c r="I149" s="6">
        <f>Suède!K26</f>
        <v>285</v>
      </c>
      <c r="J149" s="6">
        <f>Suède!L26</f>
        <v>0</v>
      </c>
      <c r="K149" s="6">
        <f>Suède!M26</f>
        <v>0</v>
      </c>
      <c r="L149" s="6">
        <f>Suède!N26</f>
        <v>0</v>
      </c>
      <c r="M149" s="6">
        <f>Suède!O26</f>
        <v>0</v>
      </c>
      <c r="N149" s="6">
        <f>Suède!P26</f>
        <v>10</v>
      </c>
      <c r="O149" s="38">
        <f>Suède!Q26</f>
        <v>4</v>
      </c>
      <c r="P149" s="65">
        <f>Suède!R26</f>
        <v>4</v>
      </c>
      <c r="Q149" s="190">
        <f>Suède!S26</f>
        <v>0</v>
      </c>
      <c r="R149" s="190">
        <f>Suède!T26</f>
        <v>0</v>
      </c>
      <c r="S149" s="190">
        <f>Suède!U26</f>
        <v>0</v>
      </c>
      <c r="T149" s="190">
        <f>Suède!V26</f>
        <v>0</v>
      </c>
      <c r="U149" s="190">
        <f>Suède!W26</f>
        <v>0</v>
      </c>
      <c r="V149" s="190">
        <f>Suède!X26</f>
        <v>0</v>
      </c>
      <c r="W149" s="190">
        <f>Suède!Y26</f>
        <v>35</v>
      </c>
      <c r="X149" s="157" t="e">
        <f t="shared" si="2"/>
        <v>#DIV/0!</v>
      </c>
    </row>
    <row r="150" ht="12.75">
      <c r="X150" s="290"/>
    </row>
    <row r="151" ht="12.75">
      <c r="X151" s="290"/>
    </row>
    <row r="152" spans="1:24" ht="15.75">
      <c r="A152" s="159" t="s">
        <v>136</v>
      </c>
      <c r="B152" s="60">
        <v>1997</v>
      </c>
      <c r="C152" s="60">
        <v>1998</v>
      </c>
      <c r="D152" s="60">
        <v>1999</v>
      </c>
      <c r="E152" s="60">
        <v>2000</v>
      </c>
      <c r="F152" s="60">
        <v>2001</v>
      </c>
      <c r="G152" s="60">
        <v>2002</v>
      </c>
      <c r="H152" s="178">
        <v>2003</v>
      </c>
      <c r="I152" s="178">
        <v>2004</v>
      </c>
      <c r="J152" s="178">
        <v>2005</v>
      </c>
      <c r="K152" s="179">
        <v>2006</v>
      </c>
      <c r="L152" s="178">
        <v>2007</v>
      </c>
      <c r="M152" s="180">
        <v>2008</v>
      </c>
      <c r="N152" s="178">
        <v>2009</v>
      </c>
      <c r="O152" s="178">
        <v>2010</v>
      </c>
      <c r="P152" s="225">
        <v>2011</v>
      </c>
      <c r="Q152" s="178">
        <v>2012</v>
      </c>
      <c r="R152" s="178">
        <v>2013</v>
      </c>
      <c r="S152" s="178">
        <v>2014</v>
      </c>
      <c r="T152" s="178">
        <v>2015</v>
      </c>
      <c r="U152" s="178">
        <v>2016</v>
      </c>
      <c r="V152" s="178">
        <v>2017</v>
      </c>
      <c r="W152" s="350" t="s">
        <v>204</v>
      </c>
      <c r="X152" s="178" t="s">
        <v>205</v>
      </c>
    </row>
    <row r="153" spans="1:24" ht="12.75">
      <c r="A153" s="38" t="s">
        <v>111</v>
      </c>
      <c r="B153" s="20">
        <v>1193</v>
      </c>
      <c r="C153" s="20">
        <v>1277</v>
      </c>
      <c r="D153" s="20">
        <v>1264</v>
      </c>
      <c r="E153" s="20">
        <v>1394</v>
      </c>
      <c r="F153" s="20">
        <v>1258</v>
      </c>
      <c r="G153" s="20">
        <v>1047</v>
      </c>
      <c r="H153" s="20">
        <f>Allemagne!J29</f>
        <v>997</v>
      </c>
      <c r="I153" s="90">
        <f>Allemagne!K29</f>
        <v>956</v>
      </c>
      <c r="J153" s="6">
        <f>Allemagne!L29</f>
        <v>1518</v>
      </c>
      <c r="K153" s="6">
        <f>Allemagne!M29</f>
        <v>2236</v>
      </c>
      <c r="L153" s="6">
        <f>Allemagne!N29</f>
        <v>2338</v>
      </c>
      <c r="M153" s="6">
        <f>Allemagne!O29</f>
        <v>1868</v>
      </c>
      <c r="N153" s="6">
        <f>Allemagne!P29</f>
        <v>1823</v>
      </c>
      <c r="O153" s="38">
        <f>Allemagne!Q29</f>
        <v>2902</v>
      </c>
      <c r="P153" s="65">
        <f>Allemagne!R29</f>
        <v>2688</v>
      </c>
      <c r="Q153" s="190">
        <f>Allemagne!S29</f>
        <v>2450</v>
      </c>
      <c r="R153" s="190">
        <f>Allemagne!T29</f>
        <v>2229</v>
      </c>
      <c r="S153" s="190">
        <f>Allemagne!U29</f>
        <v>2322</v>
      </c>
      <c r="T153" s="190">
        <f>Allemagne!V29</f>
        <v>2507</v>
      </c>
      <c r="U153" s="190">
        <f>Allemagne!W29</f>
        <v>2888</v>
      </c>
      <c r="V153" s="190">
        <f>Allemagne!X29</f>
        <v>3209</v>
      </c>
      <c r="W153" s="190">
        <f>Allemagne!Y29</f>
        <v>0</v>
      </c>
      <c r="X153" s="157">
        <f t="shared" si="2"/>
        <v>0.11114958448753454</v>
      </c>
    </row>
    <row r="154" spans="1:24" ht="12.75">
      <c r="A154" s="80" t="s">
        <v>112</v>
      </c>
      <c r="B154" s="83">
        <v>552</v>
      </c>
      <c r="C154" s="83">
        <v>677</v>
      </c>
      <c r="D154" s="83">
        <v>823</v>
      </c>
      <c r="E154" s="83">
        <v>912</v>
      </c>
      <c r="F154" s="83">
        <v>435</v>
      </c>
      <c r="G154" s="83">
        <v>387</v>
      </c>
      <c r="H154" s="83">
        <f>Danemark!J29</f>
        <v>503</v>
      </c>
      <c r="I154" s="83">
        <f>Danemark!K29</f>
        <v>438</v>
      </c>
      <c r="J154" s="83">
        <f>Danemark!L29</f>
        <v>327</v>
      </c>
      <c r="K154" s="80">
        <f>Danemark!M29</f>
        <v>424</v>
      </c>
      <c r="L154" s="80">
        <f>Danemark!N29</f>
        <v>403</v>
      </c>
      <c r="M154" s="80">
        <f>Danemark!O29</f>
        <v>524</v>
      </c>
      <c r="N154" s="80">
        <f>Danemark!P29</f>
        <v>362</v>
      </c>
      <c r="O154" s="80">
        <f>Danemark!Q29</f>
        <v>616</v>
      </c>
      <c r="P154" s="174">
        <f>Danemark!R29</f>
        <v>320</v>
      </c>
      <c r="Q154" s="192">
        <f>Danemark!S29</f>
        <v>310</v>
      </c>
      <c r="R154" s="192">
        <f>Danemark!T29</f>
        <v>435</v>
      </c>
      <c r="S154" s="192">
        <f>Danemark!U29</f>
        <v>463</v>
      </c>
      <c r="T154" s="192">
        <f>Danemark!V29</f>
        <v>299</v>
      </c>
      <c r="U154" s="192">
        <f>Danemark!W29</f>
        <v>139</v>
      </c>
      <c r="V154" s="192">
        <f>Danemark!X29</f>
        <v>59</v>
      </c>
      <c r="W154" s="192">
        <f>Danemark!Y29</f>
        <v>0</v>
      </c>
      <c r="X154" s="157">
        <f t="shared" si="2"/>
        <v>-0.5755395683453237</v>
      </c>
    </row>
    <row r="155" spans="1:24" ht="12.75">
      <c r="A155" s="69" t="s">
        <v>108</v>
      </c>
      <c r="B155" s="72">
        <v>2557</v>
      </c>
      <c r="C155" s="72">
        <v>3806</v>
      </c>
      <c r="D155" s="72">
        <v>5232</v>
      </c>
      <c r="E155" s="72">
        <v>5740</v>
      </c>
      <c r="F155" s="72">
        <v>3706</v>
      </c>
      <c r="G155" s="72">
        <v>1940</v>
      </c>
      <c r="H155" s="72">
        <f>France!J30</f>
        <v>2417</v>
      </c>
      <c r="I155" s="72">
        <f>France!K30</f>
        <v>3271</v>
      </c>
      <c r="J155" s="72">
        <f>France!L30</f>
        <v>3707</v>
      </c>
      <c r="K155" s="103">
        <f>France!M30</f>
        <v>4281</v>
      </c>
      <c r="L155" s="103">
        <f>France!N30</f>
        <v>4006</v>
      </c>
      <c r="M155" s="103">
        <f>France!O30</f>
        <v>2741</v>
      </c>
      <c r="N155" s="103">
        <f>France!P30</f>
        <v>4428</v>
      </c>
      <c r="O155" s="103">
        <f>France!Q30</f>
        <v>4236</v>
      </c>
      <c r="P155" s="226">
        <f>France!R30</f>
        <v>3177</v>
      </c>
      <c r="Q155" s="194">
        <f>France!S30</f>
        <v>3807</v>
      </c>
      <c r="R155" s="194">
        <f>France!T30</f>
        <v>3405</v>
      </c>
      <c r="S155" s="194">
        <f>France!U30</f>
        <v>4476</v>
      </c>
      <c r="T155" s="194">
        <f>France!V30</f>
        <v>6362</v>
      </c>
      <c r="U155" s="194">
        <f>France!W30</f>
        <v>7833</v>
      </c>
      <c r="V155" s="194">
        <f>France!X30</f>
        <v>9968</v>
      </c>
      <c r="W155" s="194">
        <f>France!Y30</f>
        <v>10558</v>
      </c>
      <c r="X155" s="157">
        <f t="shared" si="2"/>
        <v>0.2725647899910635</v>
      </c>
    </row>
    <row r="156" spans="1:24" ht="12.75">
      <c r="A156" t="s">
        <v>113</v>
      </c>
      <c r="B156" s="6">
        <v>469</v>
      </c>
      <c r="C156" s="6">
        <v>278</v>
      </c>
      <c r="D156" s="6">
        <v>389</v>
      </c>
      <c r="E156" s="6">
        <v>312</v>
      </c>
      <c r="F156" s="6">
        <v>223</v>
      </c>
      <c r="G156" s="6">
        <v>13</v>
      </c>
      <c r="H156" s="6">
        <f>Italie!J30</f>
        <v>13</v>
      </c>
      <c r="I156" s="6">
        <f>Italie!K30</f>
        <v>24</v>
      </c>
      <c r="J156" s="5">
        <f>Italie!L30</f>
        <v>90</v>
      </c>
      <c r="K156" s="104">
        <f>Italie!M30</f>
        <v>99.00000000000001</v>
      </c>
      <c r="L156" s="104">
        <f>Italie!N30</f>
        <v>15.59</v>
      </c>
      <c r="M156" s="104">
        <f>Italie!O30</f>
        <v>54</v>
      </c>
      <c r="N156" s="104">
        <f>Italie!P30</f>
        <v>83.16</v>
      </c>
      <c r="O156" s="104">
        <f>Italie!Q30</f>
        <v>134</v>
      </c>
      <c r="P156" s="227">
        <f>Italie!R30</f>
        <v>154</v>
      </c>
      <c r="Q156" s="194">
        <f>Italie!S30</f>
        <v>105</v>
      </c>
      <c r="R156" s="194">
        <f>Italie!T30</f>
        <v>113</v>
      </c>
      <c r="S156" s="194">
        <f>Italie!U30</f>
        <v>184</v>
      </c>
      <c r="T156" s="194">
        <f>Italie!V30</f>
        <v>224</v>
      </c>
      <c r="U156" s="194">
        <f>Italie!W30</f>
        <v>151</v>
      </c>
      <c r="V156" s="194">
        <f>Italie!X30</f>
        <v>189</v>
      </c>
      <c r="W156" s="194">
        <f>Italie!Y30</f>
        <v>0</v>
      </c>
      <c r="X156" s="157">
        <f t="shared" si="2"/>
        <v>0.2516556291390728</v>
      </c>
    </row>
    <row r="157" spans="1:24" ht="12.75">
      <c r="A157" s="7" t="s">
        <v>122</v>
      </c>
      <c r="B157" s="6">
        <v>1107</v>
      </c>
      <c r="C157" s="6">
        <v>1400</v>
      </c>
      <c r="D157" s="6">
        <v>1634</v>
      </c>
      <c r="E157" s="6">
        <v>1950</v>
      </c>
      <c r="F157" s="6">
        <v>2234</v>
      </c>
      <c r="G157" s="6">
        <v>2666</v>
      </c>
      <c r="H157" s="6">
        <f>Suède!J29</f>
        <v>2790.8999999999996</v>
      </c>
      <c r="I157" s="6">
        <f>Suède!K29</f>
        <v>2041</v>
      </c>
      <c r="J157" s="6">
        <f>Suède!L29</f>
        <v>1510</v>
      </c>
      <c r="K157" s="105">
        <f>Suède!M29</f>
        <v>1719</v>
      </c>
      <c r="L157" s="105">
        <f>Suède!N29</f>
        <v>2087</v>
      </c>
      <c r="M157" s="105">
        <f>Suède!O29</f>
        <v>1901</v>
      </c>
      <c r="N157" s="105">
        <f>Suède!P29</f>
        <v>1998</v>
      </c>
      <c r="O157" s="105">
        <f>Suède!Q29</f>
        <v>2675</v>
      </c>
      <c r="P157" s="65">
        <f>Suède!R29</f>
        <v>2683</v>
      </c>
      <c r="Q157" s="194">
        <f>Suède!S29</f>
        <v>2750</v>
      </c>
      <c r="R157" s="194">
        <f>Suède!T29</f>
        <v>2197</v>
      </c>
      <c r="S157" s="194">
        <f>Suède!U29</f>
        <v>2331</v>
      </c>
      <c r="T157" s="194">
        <f>Suède!V29</f>
        <v>2899</v>
      </c>
      <c r="U157" s="194">
        <f>Suède!W29</f>
        <v>3065.8</v>
      </c>
      <c r="V157" s="194">
        <f>Suède!X29</f>
        <v>2872</v>
      </c>
      <c r="W157" s="194">
        <f>Suède!Y29</f>
        <v>3114</v>
      </c>
      <c r="X157" s="157">
        <f t="shared" si="2"/>
        <v>-0.06321351686346144</v>
      </c>
    </row>
    <row r="158" spans="1:24" ht="12.75">
      <c r="A158" s="7" t="s">
        <v>115</v>
      </c>
      <c r="B158" s="6">
        <v>521</v>
      </c>
      <c r="C158" s="6">
        <v>672</v>
      </c>
      <c r="D158" s="6">
        <v>533</v>
      </c>
      <c r="E158" s="6">
        <v>552</v>
      </c>
      <c r="F158" s="6">
        <v>668</v>
      </c>
      <c r="G158" s="6">
        <v>628</v>
      </c>
      <c r="H158" s="6">
        <f>Finlande!J29</f>
        <v>470</v>
      </c>
      <c r="I158" s="65">
        <f>Finlande!K29</f>
        <v>450</v>
      </c>
      <c r="J158" s="5">
        <f>Finlande!L29</f>
        <v>660</v>
      </c>
      <c r="K158" s="7">
        <f>Finlande!M29</f>
        <v>740</v>
      </c>
      <c r="L158" s="7">
        <f>Finlande!N29</f>
        <v>780</v>
      </c>
      <c r="M158" s="7">
        <f>Finlande!O29</f>
        <v>598</v>
      </c>
      <c r="N158" s="7">
        <f>Finlande!P29</f>
        <v>384</v>
      </c>
      <c r="O158" s="7">
        <f>Finlande!Q29</f>
        <v>400</v>
      </c>
      <c r="P158" s="89">
        <f>Finlande!R29</f>
        <v>463</v>
      </c>
      <c r="Q158" s="194">
        <f>Finlande!S29</f>
        <v>493</v>
      </c>
      <c r="R158" s="194">
        <f>Finlande!T29</f>
        <v>584.51</v>
      </c>
      <c r="S158" s="194">
        <f>Finlande!U29</f>
        <v>542</v>
      </c>
      <c r="T158" s="194">
        <f>Finlande!V29</f>
        <v>590</v>
      </c>
      <c r="U158" s="194">
        <f>Finlande!W29</f>
        <v>511</v>
      </c>
      <c r="V158" s="194">
        <f>Finlande!X29</f>
        <v>589</v>
      </c>
      <c r="W158" s="194">
        <f>Finlande!Y29</f>
        <v>271</v>
      </c>
      <c r="X158" s="157">
        <f t="shared" si="2"/>
        <v>0.15264187866927603</v>
      </c>
    </row>
    <row r="159" spans="1:24" ht="12.75">
      <c r="A159" s="349" t="s">
        <v>201</v>
      </c>
      <c r="Q159" s="240">
        <f>+'Rep Tcheque'!S29</f>
        <v>4610</v>
      </c>
      <c r="R159" s="240">
        <f>+'Rep Tcheque'!T29</f>
        <v>4668</v>
      </c>
      <c r="S159" s="240">
        <f>+'Rep Tcheque'!U29</f>
        <v>4815</v>
      </c>
      <c r="T159" s="240">
        <f>+'Rep Tcheque'!V29</f>
        <v>4430</v>
      </c>
      <c r="U159" s="240">
        <f>+'Rep Tcheque'!W29</f>
        <v>5656</v>
      </c>
      <c r="V159" s="240">
        <f>+'Rep Tcheque'!X29</f>
        <v>0</v>
      </c>
      <c r="W159" s="240">
        <f>+'Rep Tcheque'!Y29</f>
        <v>0</v>
      </c>
      <c r="X159" s="290"/>
    </row>
    <row r="160" spans="1:24" ht="12.75">
      <c r="A160" s="349" t="s">
        <v>202</v>
      </c>
      <c r="Q160" s="240">
        <f>+Pologne!S29</f>
        <v>924</v>
      </c>
      <c r="R160" s="240">
        <f>+Pologne!T29</f>
        <v>1737</v>
      </c>
      <c r="S160" s="240">
        <f>+Pologne!U29</f>
        <v>1871</v>
      </c>
      <c r="T160" s="240">
        <f>+Pologne!V29</f>
        <v>2743</v>
      </c>
      <c r="U160" s="240">
        <f>+Pologne!W29</f>
        <v>3628</v>
      </c>
      <c r="V160" s="240">
        <f>+Pologne!X29</f>
        <v>0</v>
      </c>
      <c r="W160" s="240">
        <f>+Pologne!Y29</f>
        <v>0</v>
      </c>
      <c r="X160" s="290"/>
    </row>
    <row r="161" spans="1:24" ht="15.75">
      <c r="A161" s="159" t="s">
        <v>137</v>
      </c>
      <c r="B161" s="60">
        <v>1997</v>
      </c>
      <c r="C161" s="60">
        <v>1998</v>
      </c>
      <c r="D161" s="60">
        <v>1999</v>
      </c>
      <c r="E161" s="60">
        <v>2000</v>
      </c>
      <c r="F161" s="60">
        <v>2001</v>
      </c>
      <c r="G161" s="60">
        <v>2002</v>
      </c>
      <c r="H161" s="178">
        <v>2003</v>
      </c>
      <c r="I161" s="178">
        <v>2004</v>
      </c>
      <c r="J161" s="178">
        <v>2005</v>
      </c>
      <c r="K161" s="179">
        <v>2006</v>
      </c>
      <c r="L161" s="178">
        <v>2007</v>
      </c>
      <c r="M161" s="180">
        <v>2008</v>
      </c>
      <c r="N161" s="178">
        <v>2009</v>
      </c>
      <c r="O161" s="178">
        <v>2010</v>
      </c>
      <c r="P161" s="225">
        <v>2011</v>
      </c>
      <c r="Q161" s="178">
        <v>2012</v>
      </c>
      <c r="R161" s="178">
        <v>2013</v>
      </c>
      <c r="S161" s="178">
        <v>2014</v>
      </c>
      <c r="T161" s="178">
        <v>2015</v>
      </c>
      <c r="U161" s="178">
        <v>2016</v>
      </c>
      <c r="V161" s="178">
        <v>2017</v>
      </c>
      <c r="W161" s="350" t="s">
        <v>204</v>
      </c>
      <c r="X161" s="178" t="s">
        <v>205</v>
      </c>
    </row>
    <row r="162" spans="1:24" ht="12.75">
      <c r="A162" s="38" t="s">
        <v>111</v>
      </c>
      <c r="B162" s="6">
        <v>378</v>
      </c>
      <c r="C162" s="6">
        <v>488</v>
      </c>
      <c r="D162" s="6">
        <v>361</v>
      </c>
      <c r="E162" s="6">
        <v>297</v>
      </c>
      <c r="F162" s="6">
        <v>300</v>
      </c>
      <c r="G162" s="6">
        <v>211</v>
      </c>
      <c r="H162" s="6">
        <f>Allemagne!J30</f>
        <v>193</v>
      </c>
      <c r="I162" s="90">
        <f>Allemagne!K30</f>
        <v>167</v>
      </c>
      <c r="J162" s="6">
        <f>Allemagne!L30</f>
        <v>168</v>
      </c>
      <c r="K162" s="38">
        <f>Allemagne!M30</f>
        <v>161</v>
      </c>
      <c r="L162" s="38">
        <f>Allemagne!N30</f>
        <v>180</v>
      </c>
      <c r="M162" s="38">
        <f>Allemagne!O30</f>
        <v>59</v>
      </c>
      <c r="N162" s="38">
        <f>Allemagne!P30</f>
        <v>0</v>
      </c>
      <c r="O162" s="38">
        <f>Allemagne!Q30</f>
        <v>14</v>
      </c>
      <c r="P162" s="65">
        <f>Allemagne!R30</f>
        <v>45</v>
      </c>
      <c r="Q162" s="190">
        <f>Allemagne!S30</f>
        <v>36</v>
      </c>
      <c r="R162" s="190">
        <f>Allemagne!T30</f>
        <v>23</v>
      </c>
      <c r="S162" s="190">
        <f>Allemagne!U30</f>
        <v>36</v>
      </c>
      <c r="T162" s="190">
        <f>Allemagne!V30</f>
        <v>15</v>
      </c>
      <c r="U162" s="190">
        <f>Allemagne!W30</f>
        <v>25</v>
      </c>
      <c r="V162" s="190">
        <f>Allemagne!X30</f>
        <v>24</v>
      </c>
      <c r="W162" s="190">
        <f>Allemagne!Y30</f>
        <v>0</v>
      </c>
      <c r="X162" s="157">
        <f t="shared" si="2"/>
        <v>-0.040000000000000036</v>
      </c>
    </row>
    <row r="163" spans="1:24" ht="12.75">
      <c r="A163" s="80" t="s">
        <v>112</v>
      </c>
      <c r="B163" s="83">
        <v>2254</v>
      </c>
      <c r="C163" s="83">
        <v>3158</v>
      </c>
      <c r="D163" s="83">
        <v>3383</v>
      </c>
      <c r="E163" s="83">
        <v>3516</v>
      </c>
      <c r="F163" s="83">
        <v>3718</v>
      </c>
      <c r="G163" s="83">
        <v>3466</v>
      </c>
      <c r="H163" s="83">
        <f>Danemark!J30</f>
        <v>3734</v>
      </c>
      <c r="I163" s="83">
        <f>Danemark!K30</f>
        <v>3866</v>
      </c>
      <c r="J163" s="83">
        <f>Danemark!L30</f>
        <v>4757</v>
      </c>
      <c r="K163" s="80">
        <f>Danemark!M30</f>
        <v>5541</v>
      </c>
      <c r="L163" s="80">
        <f>Danemark!N30</f>
        <v>4300</v>
      </c>
      <c r="M163" s="80">
        <f>Danemark!O30</f>
        <v>3889</v>
      </c>
      <c r="N163" s="80">
        <f>Danemark!P30</f>
        <v>3938</v>
      </c>
      <c r="O163" s="80">
        <f>Danemark!Q30</f>
        <v>3779</v>
      </c>
      <c r="P163" s="174">
        <f>Danemark!R30</f>
        <v>3398</v>
      </c>
      <c r="Q163" s="192">
        <f>Danemark!S30</f>
        <v>3129</v>
      </c>
      <c r="R163" s="192">
        <f>Danemark!T30</f>
        <v>3699</v>
      </c>
      <c r="S163" s="192">
        <f>Danemark!U30</f>
        <v>2724</v>
      </c>
      <c r="T163" s="192">
        <f>Danemark!V30</f>
        <v>3403</v>
      </c>
      <c r="U163" s="192">
        <f>Danemark!W30</f>
        <v>3619</v>
      </c>
      <c r="V163" s="192">
        <f>Danemark!X30</f>
        <v>3899</v>
      </c>
      <c r="W163" s="192">
        <f>Danemark!Y30</f>
        <v>0</v>
      </c>
      <c r="X163" s="157">
        <f t="shared" si="2"/>
        <v>0.07736943907156668</v>
      </c>
    </row>
    <row r="164" spans="1:24" ht="12.75">
      <c r="A164" s="17" t="s">
        <v>122</v>
      </c>
      <c r="B164" s="6">
        <v>142</v>
      </c>
      <c r="C164" s="6">
        <v>180</v>
      </c>
      <c r="D164" s="6">
        <v>270</v>
      </c>
      <c r="E164" s="6">
        <v>261</v>
      </c>
      <c r="F164" s="6">
        <v>481</v>
      </c>
      <c r="G164" s="6">
        <v>396</v>
      </c>
      <c r="H164" s="6">
        <f>Suède!J30</f>
        <v>509.2</v>
      </c>
      <c r="I164" s="6">
        <f>Suède!K30</f>
        <v>571</v>
      </c>
      <c r="J164" s="5">
        <f>Suède!L30</f>
        <v>671</v>
      </c>
      <c r="K164" s="105">
        <f>Suède!M30</f>
        <v>840</v>
      </c>
      <c r="L164" s="105">
        <f>Suède!N30</f>
        <v>644</v>
      </c>
      <c r="M164" s="105">
        <f>Suède!O30</f>
        <v>632</v>
      </c>
      <c r="N164" s="105">
        <f>Suède!P30</f>
        <v>513</v>
      </c>
      <c r="O164" s="105">
        <f>Suède!Q30</f>
        <v>622</v>
      </c>
      <c r="P164" s="65">
        <f>Suède!R30</f>
        <v>684</v>
      </c>
      <c r="Q164" s="228">
        <f>Suède!S30</f>
        <v>735</v>
      </c>
      <c r="R164" s="228">
        <f>Suède!T30</f>
        <v>700</v>
      </c>
      <c r="S164" s="228">
        <f>Suède!U30</f>
        <v>726</v>
      </c>
      <c r="T164" s="228">
        <f>Suède!V30</f>
        <v>1022</v>
      </c>
      <c r="U164" s="228">
        <f>Suède!W30</f>
        <v>1201</v>
      </c>
      <c r="V164" s="228">
        <f>Suède!X30</f>
        <v>1645.6</v>
      </c>
      <c r="W164" s="228">
        <f>Suède!Y30</f>
        <v>2069</v>
      </c>
      <c r="X164" s="157">
        <f t="shared" si="2"/>
        <v>0.3701915070774353</v>
      </c>
    </row>
    <row r="165" ht="12.75">
      <c r="X165" s="290"/>
    </row>
    <row r="166" ht="12.75">
      <c r="X166" s="290"/>
    </row>
    <row r="167" spans="1:24" ht="15.75">
      <c r="A167" s="159" t="s">
        <v>138</v>
      </c>
      <c r="B167" s="60">
        <v>1997</v>
      </c>
      <c r="C167" s="60">
        <v>1998</v>
      </c>
      <c r="D167" s="60">
        <v>1999</v>
      </c>
      <c r="E167" s="60">
        <v>2000</v>
      </c>
      <c r="F167" s="60">
        <v>2001</v>
      </c>
      <c r="G167" s="60">
        <v>2002</v>
      </c>
      <c r="H167" s="178">
        <v>2003</v>
      </c>
      <c r="I167" s="178">
        <v>2004</v>
      </c>
      <c r="J167" s="178">
        <v>2005</v>
      </c>
      <c r="K167" s="179">
        <v>2006</v>
      </c>
      <c r="L167" s="178">
        <v>2007</v>
      </c>
      <c r="M167" s="180">
        <v>2008</v>
      </c>
      <c r="N167" s="178">
        <v>2009</v>
      </c>
      <c r="O167" s="178">
        <v>2010</v>
      </c>
      <c r="P167" s="225">
        <v>2011</v>
      </c>
      <c r="Q167" s="178">
        <v>2012</v>
      </c>
      <c r="R167" s="178">
        <v>2013</v>
      </c>
      <c r="S167" s="178">
        <v>2014</v>
      </c>
      <c r="T167" s="178">
        <v>2015</v>
      </c>
      <c r="U167" s="178">
        <v>2016</v>
      </c>
      <c r="V167" s="178">
        <v>2017</v>
      </c>
      <c r="W167" s="350" t="s">
        <v>204</v>
      </c>
      <c r="X167" s="178" t="s">
        <v>205</v>
      </c>
    </row>
    <row r="168" spans="1:24" ht="12.75">
      <c r="A168" s="69" t="s">
        <v>108</v>
      </c>
      <c r="B168" s="72">
        <v>10718</v>
      </c>
      <c r="C168" s="72">
        <v>12267</v>
      </c>
      <c r="D168" s="72">
        <v>13676</v>
      </c>
      <c r="E168" s="72">
        <v>15050</v>
      </c>
      <c r="F168" s="72">
        <v>13122</v>
      </c>
      <c r="G168" s="72">
        <v>10339</v>
      </c>
      <c r="H168" s="72">
        <f>France!J32</f>
        <v>10789</v>
      </c>
      <c r="I168" s="72">
        <f>France!K32</f>
        <v>11941</v>
      </c>
      <c r="J168" s="72">
        <f>France!L32</f>
        <v>12401</v>
      </c>
      <c r="K168" s="103">
        <f>France!M32</f>
        <v>14526</v>
      </c>
      <c r="L168" s="103">
        <f>France!N32</f>
        <v>16821</v>
      </c>
      <c r="M168" s="103">
        <f>France!O32</f>
        <v>13899</v>
      </c>
      <c r="N168" s="103">
        <f>France!P32</f>
        <v>12737</v>
      </c>
      <c r="O168" s="103">
        <f>France!Q32</f>
        <v>11595</v>
      </c>
      <c r="P168" s="226">
        <f>France!R32</f>
        <v>12040</v>
      </c>
      <c r="Q168" s="194">
        <f>France!S32</f>
        <v>11548</v>
      </c>
      <c r="R168" s="194">
        <f>France!T32</f>
        <v>10618</v>
      </c>
      <c r="S168" s="194">
        <f>France!U32</f>
        <v>11678</v>
      </c>
      <c r="T168" s="194">
        <f>France!V32</f>
        <v>15530</v>
      </c>
      <c r="U168" s="194">
        <f>France!W32</f>
        <v>19465</v>
      </c>
      <c r="V168" s="194">
        <f>France!X32</f>
        <v>24685</v>
      </c>
      <c r="W168" s="194">
        <f>France!Y32</f>
        <v>27014</v>
      </c>
      <c r="X168" s="157">
        <f t="shared" si="2"/>
        <v>0.268173645003853</v>
      </c>
    </row>
    <row r="169" spans="1:24" ht="12.75">
      <c r="A169" s="5" t="s">
        <v>113</v>
      </c>
      <c r="B169" s="6">
        <v>9968</v>
      </c>
      <c r="C169" s="6">
        <v>13173</v>
      </c>
      <c r="D169" s="6">
        <v>15721</v>
      </c>
      <c r="E169" s="6">
        <v>13169</v>
      </c>
      <c r="F169" s="6">
        <v>10188</v>
      </c>
      <c r="G169" s="6">
        <v>10598</v>
      </c>
      <c r="H169" s="6">
        <f>Italie!J31</f>
        <v>10989</v>
      </c>
      <c r="I169" s="6">
        <f>Italie!K31</f>
        <v>10008</v>
      </c>
      <c r="J169" s="5">
        <f>Italie!L31</f>
        <v>15047</v>
      </c>
      <c r="K169" s="38">
        <f>Italie!M31</f>
        <v>16551.7</v>
      </c>
      <c r="L169" s="38">
        <f>Italie!N31</f>
        <v>15090.47</v>
      </c>
      <c r="M169" s="38">
        <f>Italie!O31</f>
        <v>14422</v>
      </c>
      <c r="N169" s="38">
        <f>Italie!P31</f>
        <v>13858.38</v>
      </c>
      <c r="O169" s="38">
        <f>Italie!Q31</f>
        <v>15043</v>
      </c>
      <c r="P169" s="65">
        <f>Italie!R31</f>
        <v>17298</v>
      </c>
      <c r="Q169" s="190">
        <f>Italie!S31</f>
        <v>20934</v>
      </c>
      <c r="R169" s="190">
        <f>Italie!T31</f>
        <v>20035</v>
      </c>
      <c r="S169" s="190">
        <f>Italie!U31</f>
        <v>19888</v>
      </c>
      <c r="T169" s="190">
        <f>Italie!V31</f>
        <v>27133</v>
      </c>
      <c r="U169" s="190">
        <f>Italie!W31</f>
        <v>36646</v>
      </c>
      <c r="V169" s="190">
        <f>Italie!X31</f>
        <v>37655</v>
      </c>
      <c r="W169" s="190">
        <f>Italie!Y31</f>
        <v>0</v>
      </c>
      <c r="X169" s="157">
        <f t="shared" si="2"/>
        <v>0.027533700813185513</v>
      </c>
    </row>
    <row r="170" ht="12.75">
      <c r="X170" s="290"/>
    </row>
    <row r="171" spans="1:24" ht="15.75">
      <c r="A171" s="159" t="s">
        <v>141</v>
      </c>
      <c r="F171" s="60">
        <v>2001</v>
      </c>
      <c r="G171" s="60">
        <v>2002</v>
      </c>
      <c r="H171" s="178">
        <v>2003</v>
      </c>
      <c r="I171" s="178">
        <v>2004</v>
      </c>
      <c r="J171" s="178">
        <v>2005</v>
      </c>
      <c r="K171" s="179">
        <v>2006</v>
      </c>
      <c r="L171" s="178">
        <v>2007</v>
      </c>
      <c r="M171" s="180">
        <v>2008</v>
      </c>
      <c r="N171" s="178">
        <v>2009</v>
      </c>
      <c r="O171" s="57">
        <v>2010</v>
      </c>
      <c r="P171" s="234">
        <v>2011</v>
      </c>
      <c r="Q171" s="57">
        <v>2012</v>
      </c>
      <c r="R171" s="178">
        <v>2013</v>
      </c>
      <c r="S171" s="178">
        <v>2014</v>
      </c>
      <c r="T171" s="178">
        <v>2015</v>
      </c>
      <c r="U171" s="178">
        <v>2016</v>
      </c>
      <c r="V171" s="178">
        <v>2017</v>
      </c>
      <c r="W171" s="350" t="s">
        <v>204</v>
      </c>
      <c r="X171" s="178" t="s">
        <v>205</v>
      </c>
    </row>
    <row r="172" spans="1:24" ht="12.75">
      <c r="A172" s="5" t="s">
        <v>142</v>
      </c>
      <c r="B172" s="5"/>
      <c r="C172" s="5"/>
      <c r="D172" s="5"/>
      <c r="E172" s="5"/>
      <c r="F172" s="6">
        <f>Belgique!H39+Belgique!H40</f>
        <v>0</v>
      </c>
      <c r="G172" s="6">
        <f>Belgique!I39+Belgique!I40</f>
        <v>0</v>
      </c>
      <c r="H172" s="6">
        <f>Belgique!J39+Belgique!J40</f>
        <v>0</v>
      </c>
      <c r="I172" s="6">
        <f>Belgique!K39+Belgique!K40</f>
        <v>0</v>
      </c>
      <c r="J172" s="6">
        <f>Belgique!L39+Belgique!L40</f>
        <v>2</v>
      </c>
      <c r="K172" s="6">
        <f>Belgique!M39+Belgique!M40</f>
        <v>6</v>
      </c>
      <c r="L172" s="6">
        <f>Belgique!N39+Belgique!N40</f>
        <v>15</v>
      </c>
      <c r="M172" s="6">
        <f>Belgique!O39+Belgique!O40</f>
        <v>63.7</v>
      </c>
      <c r="N172" s="6">
        <f>Belgique!P39+Belgique!P40</f>
        <v>80</v>
      </c>
      <c r="O172" s="6">
        <f>Belgique!Q39+Belgique!Q40</f>
        <v>73</v>
      </c>
      <c r="P172" s="65">
        <f>Belgique!R40</f>
        <v>68</v>
      </c>
      <c r="Q172" s="190">
        <f>Belgique!S40</f>
        <v>89</v>
      </c>
      <c r="R172" s="190">
        <f>Belgique!T40</f>
        <v>79.83</v>
      </c>
      <c r="S172" s="190">
        <f>Belgique!U40</f>
        <v>78</v>
      </c>
      <c r="T172" s="190">
        <f>Belgique!V40</f>
        <v>0</v>
      </c>
      <c r="U172" s="190">
        <f>Belgique!W40</f>
        <v>0</v>
      </c>
      <c r="V172" s="190">
        <f>Belgique!X40</f>
        <v>0</v>
      </c>
      <c r="W172" s="190">
        <f>Belgique!Y40</f>
        <v>0</v>
      </c>
      <c r="X172" s="157" t="e">
        <f t="shared" si="2"/>
        <v>#DIV/0!</v>
      </c>
    </row>
    <row r="173" spans="1:24" ht="12.75">
      <c r="A173" s="5" t="s">
        <v>143</v>
      </c>
      <c r="B173" s="5"/>
      <c r="C173" s="5"/>
      <c r="D173" s="5"/>
      <c r="E173" s="5"/>
      <c r="F173" s="6">
        <f>Allemagne!H39+Allemagne!H40</f>
        <v>3170</v>
      </c>
      <c r="G173" s="6">
        <f>Allemagne!I39+Allemagne!I40</f>
        <v>4130</v>
      </c>
      <c r="H173" s="6">
        <f>Allemagne!J39+Allemagne!J40</f>
        <v>5741</v>
      </c>
      <c r="I173" s="6">
        <f>Allemagne!K39+Allemagne!K40</f>
        <v>6712</v>
      </c>
      <c r="J173" s="6">
        <f>Allemagne!L39+Allemagne!L40</f>
        <v>5017</v>
      </c>
      <c r="K173" s="6">
        <f>Allemagne!M39+Allemagne!M40</f>
        <v>5741</v>
      </c>
      <c r="L173" s="6">
        <f>Allemagne!N39+Allemagne!N40</f>
        <v>6659</v>
      </c>
      <c r="M173" s="6">
        <f>Allemagne!O39+Allemagne!O40</f>
        <v>7844</v>
      </c>
      <c r="N173" s="6">
        <f>Allemagne!P39+Allemagne!P40</f>
        <v>7187</v>
      </c>
      <c r="O173" s="6">
        <f>Allemagne!Q39+Allemagne!Q40</f>
        <v>5009</v>
      </c>
      <c r="P173" s="65">
        <f>Allemagne!R40+Allemagne!R39</f>
        <v>5655</v>
      </c>
      <c r="Q173" s="190">
        <f>Allemagne!S39+Allemagne!S40</f>
        <v>6319</v>
      </c>
      <c r="R173" s="190">
        <f>Allemagne!T39+Allemagne!T40</f>
        <v>5948</v>
      </c>
      <c r="S173" s="190">
        <f>Allemagne!U39+Allemagne!U40</f>
        <v>3835</v>
      </c>
      <c r="T173" s="190">
        <f>Allemagne!V39+Allemagne!V40</f>
        <v>1887</v>
      </c>
      <c r="U173" s="190">
        <f>Allemagne!W39+Allemagne!W40</f>
        <v>2250</v>
      </c>
      <c r="V173" s="190">
        <f>Allemagne!X39+Allemagne!X40</f>
        <v>2602</v>
      </c>
      <c r="W173" s="190">
        <f>Allemagne!Y39+Allemagne!Y40</f>
        <v>0</v>
      </c>
      <c r="X173" s="157">
        <f t="shared" si="2"/>
        <v>0.15644444444444439</v>
      </c>
    </row>
    <row r="174" spans="1:24" ht="12.75">
      <c r="A174" s="5" t="s">
        <v>109</v>
      </c>
      <c r="B174" s="5"/>
      <c r="C174" s="5"/>
      <c r="D174" s="5"/>
      <c r="E174" s="5"/>
      <c r="F174" s="6">
        <f>Danemark!H40+Danemark!H41</f>
        <v>450</v>
      </c>
      <c r="G174" s="6">
        <f>Danemark!I40+Danemark!I41</f>
        <v>573</v>
      </c>
      <c r="H174" s="6">
        <f>Danemark!J40+Danemark!J41</f>
        <v>777</v>
      </c>
      <c r="I174" s="6">
        <f>Danemark!K40+Danemark!K41</f>
        <v>796</v>
      </c>
      <c r="J174" s="6">
        <f>Danemark!L40+Danemark!L41</f>
        <v>0</v>
      </c>
      <c r="K174" s="6"/>
      <c r="L174" s="6"/>
      <c r="M174" s="6"/>
      <c r="N174" s="6">
        <f>Danemark!P40+Danemark!P41</f>
        <v>358</v>
      </c>
      <c r="O174" s="6"/>
      <c r="P174" s="65">
        <f>Danemark!R41</f>
        <v>0</v>
      </c>
      <c r="Q174" s="190">
        <f>Danemark!S41</f>
        <v>0</v>
      </c>
      <c r="R174" s="190">
        <f>Danemark!T40+Danemark!T41</f>
        <v>717</v>
      </c>
      <c r="S174" s="190">
        <f>Danemark!U40+Danemark!U41</f>
        <v>820</v>
      </c>
      <c r="T174" s="190">
        <f>Danemark!V40+Danemark!V41</f>
        <v>434</v>
      </c>
      <c r="U174" s="190">
        <f>Danemark!W40+Danemark!W41</f>
        <v>0</v>
      </c>
      <c r="V174" s="190">
        <f>Danemark!X40+Danemark!X41</f>
        <v>777</v>
      </c>
      <c r="W174" s="190">
        <f>Danemark!Y40+Danemark!Y41</f>
        <v>0</v>
      </c>
      <c r="X174" s="157" t="e">
        <f t="shared" si="2"/>
        <v>#DIV/0!</v>
      </c>
    </row>
    <row r="175" spans="1:24" ht="12.75">
      <c r="A175" s="5" t="s">
        <v>108</v>
      </c>
      <c r="B175" s="5"/>
      <c r="C175" s="5"/>
      <c r="D175" s="5"/>
      <c r="E175" s="5"/>
      <c r="F175" s="6">
        <f>France!H41</f>
        <v>3426</v>
      </c>
      <c r="G175" s="6">
        <f>France!I41</f>
        <v>3335</v>
      </c>
      <c r="H175" s="6">
        <f>France!J41</f>
        <v>3660</v>
      </c>
      <c r="I175" s="6">
        <f>France!K41</f>
        <v>4520</v>
      </c>
      <c r="J175" s="6">
        <f>France!L41</f>
        <v>3889</v>
      </c>
      <c r="K175" s="6">
        <f>France!M41</f>
        <v>8020</v>
      </c>
      <c r="L175" s="6">
        <f>France!N41</f>
        <v>8202</v>
      </c>
      <c r="M175" s="6">
        <f>France!O41</f>
        <v>12775</v>
      </c>
      <c r="N175" s="6">
        <f>France!P41</f>
        <v>13656</v>
      </c>
      <c r="O175" s="6">
        <f>France!Q41</f>
        <v>9480</v>
      </c>
      <c r="P175" s="65">
        <f>France!R41</f>
        <v>8767</v>
      </c>
      <c r="Q175" s="190">
        <f>France!S41</f>
        <v>12199</v>
      </c>
      <c r="R175" s="190">
        <f>France!T41</f>
        <v>12063</v>
      </c>
      <c r="S175" s="190">
        <f>France!U41</f>
        <v>13639</v>
      </c>
      <c r="T175" s="190">
        <f>France!V41</f>
        <v>10689</v>
      </c>
      <c r="U175" s="190">
        <f>France!W41</f>
        <v>10375</v>
      </c>
      <c r="V175" s="190">
        <f>France!X41</f>
        <v>9740</v>
      </c>
      <c r="W175" s="190">
        <f>France!Y41</f>
        <v>14411</v>
      </c>
      <c r="X175" s="157">
        <f t="shared" si="2"/>
        <v>-0.06120481927710841</v>
      </c>
    </row>
    <row r="176" spans="1:24" ht="12.75">
      <c r="A176" s="5" t="s">
        <v>127</v>
      </c>
      <c r="B176" s="5"/>
      <c r="C176" s="5"/>
      <c r="D176" s="5"/>
      <c r="E176" s="5"/>
      <c r="F176" s="6">
        <f>Italie!H40+Italie!H41</f>
        <v>160</v>
      </c>
      <c r="G176" s="6">
        <f>Italie!I40+Italie!I41</f>
        <v>31.79</v>
      </c>
      <c r="H176" s="6">
        <f>Italie!J40+Italie!J41</f>
        <v>49.29</v>
      </c>
      <c r="I176" s="6">
        <f>Italie!K40+Italie!K41</f>
        <v>53</v>
      </c>
      <c r="J176" s="5">
        <f>Italie!L40+Italie!L41</f>
        <v>43</v>
      </c>
      <c r="K176" s="6">
        <f>Italie!M40+Italie!M41</f>
        <v>47.300000000000004</v>
      </c>
      <c r="L176" s="6">
        <f>Italie!N40+Italie!N41</f>
        <v>209.21</v>
      </c>
      <c r="M176" s="6">
        <f>Italie!O40+Italie!O41</f>
        <v>268</v>
      </c>
      <c r="N176" s="6">
        <f>Italie!P40+Italie!P41</f>
        <v>266.43</v>
      </c>
      <c r="O176" s="6">
        <f>Italie!Q40+Italie!Q41</f>
        <v>56</v>
      </c>
      <c r="P176" s="65">
        <f>Italie!R41</f>
        <v>128</v>
      </c>
      <c r="Q176" s="190">
        <f>Italie!S41</f>
        <v>84</v>
      </c>
      <c r="R176" s="190">
        <f>Italie!T41</f>
        <v>219</v>
      </c>
      <c r="S176" s="190">
        <f>Italie!U41</f>
        <v>195</v>
      </c>
      <c r="T176" s="190">
        <f>Italie!V41</f>
        <v>75</v>
      </c>
      <c r="U176" s="190">
        <f>Italie!W41</f>
        <v>129</v>
      </c>
      <c r="V176" s="190">
        <f>Italie!X41</f>
        <v>235</v>
      </c>
      <c r="W176" s="190">
        <f>Italie!Y41</f>
        <v>0</v>
      </c>
      <c r="X176" s="157">
        <f t="shared" si="2"/>
        <v>0.821705426356589</v>
      </c>
    </row>
    <row r="177" spans="1:24" ht="12.75">
      <c r="A177" s="5" t="s">
        <v>144</v>
      </c>
      <c r="B177" s="5"/>
      <c r="C177" s="5"/>
      <c r="D177" s="5"/>
      <c r="E177" s="5"/>
      <c r="F177" s="5">
        <f>Suède!H40+Suède!H41</f>
        <v>621</v>
      </c>
      <c r="G177" s="5">
        <f>Suède!I40+Suède!I41</f>
        <v>983</v>
      </c>
      <c r="H177" s="5">
        <f>Suède!J40+Suède!J41</f>
        <v>709</v>
      </c>
      <c r="I177" s="5">
        <f>Suède!K40+Suède!K41</f>
        <v>858</v>
      </c>
      <c r="J177" s="5">
        <f>Suède!L40+Suède!L41</f>
        <v>742</v>
      </c>
      <c r="K177" s="6">
        <f>Suède!M40+Suède!M41</f>
        <v>924</v>
      </c>
      <c r="L177" s="6">
        <f>Suède!N40+Suède!N41</f>
        <v>1120</v>
      </c>
      <c r="M177" s="6">
        <f>Suède!O40+Suède!O41</f>
        <v>586</v>
      </c>
      <c r="N177" s="6">
        <f>Suède!P40+Suède!P41</f>
        <v>630</v>
      </c>
      <c r="O177" s="6">
        <f>Suède!Q40+Suède!Q41</f>
        <v>498</v>
      </c>
      <c r="P177" s="65">
        <f>Suède!R41</f>
        <v>541</v>
      </c>
      <c r="Q177" s="190">
        <f>Suède!S41</f>
        <v>504</v>
      </c>
      <c r="R177" s="190">
        <f>Suède!T41</f>
        <v>639</v>
      </c>
      <c r="S177" s="190">
        <f>Suède!U41</f>
        <v>215</v>
      </c>
      <c r="T177" s="190">
        <f>Suède!V41</f>
        <v>39</v>
      </c>
      <c r="U177" s="190">
        <f>Suède!W41</f>
        <v>64</v>
      </c>
      <c r="V177" s="190">
        <f>Suède!X41</f>
        <v>160.4</v>
      </c>
      <c r="W177" s="190">
        <f>Suède!Y41</f>
        <v>0</v>
      </c>
      <c r="X177" s="157">
        <f t="shared" si="2"/>
        <v>1.50625</v>
      </c>
    </row>
    <row r="178" spans="1:24" ht="12.75">
      <c r="A178" s="5" t="s">
        <v>145</v>
      </c>
      <c r="B178" s="5"/>
      <c r="C178" s="5"/>
      <c r="D178" s="5"/>
      <c r="E178" s="5"/>
      <c r="F178" s="5">
        <f>Finlande!H40+Finlande!H41</f>
        <v>848</v>
      </c>
      <c r="G178" s="5">
        <f>Finlande!I40+Finlande!I41</f>
        <v>742</v>
      </c>
      <c r="H178" s="5">
        <f>Finlande!J40+Finlande!J41</f>
        <v>800</v>
      </c>
      <c r="I178" s="5">
        <f>Finlande!K40+Finlande!K41</f>
        <v>1811</v>
      </c>
      <c r="J178" s="5">
        <f>Finlande!L40+Finlande!L41</f>
        <v>1115</v>
      </c>
      <c r="K178" s="6">
        <f>Finlande!M40+Finlande!M41</f>
        <v>1136</v>
      </c>
      <c r="L178" s="6">
        <f>Finlande!N40+Finlande!N41</f>
        <v>705</v>
      </c>
      <c r="M178" s="6">
        <f>Finlande!O40+Finlande!O41</f>
        <v>623</v>
      </c>
      <c r="N178" s="6">
        <f>Finlande!P40+Finlande!P41</f>
        <v>651</v>
      </c>
      <c r="O178" s="6">
        <f>Finlande!Q40+Finlande!Q41</f>
        <v>1100</v>
      </c>
      <c r="P178" s="65">
        <f>Finlande!R41</f>
        <v>949</v>
      </c>
      <c r="Q178" s="190">
        <f>Finlande!S41</f>
        <v>525</v>
      </c>
      <c r="R178" s="190">
        <f>Finlande!T41</f>
        <v>537</v>
      </c>
      <c r="S178" s="190">
        <f>Finlande!U41</f>
        <v>0</v>
      </c>
      <c r="T178" s="190">
        <f>Finlande!V41</f>
        <v>0</v>
      </c>
      <c r="U178" s="190">
        <f>Finlande!W41</f>
        <v>341</v>
      </c>
      <c r="V178" s="190">
        <f>Finlande!X41</f>
        <v>471</v>
      </c>
      <c r="W178" s="190">
        <f>Finlande!Y41</f>
        <v>338</v>
      </c>
      <c r="X178" s="157">
        <f t="shared" si="2"/>
        <v>0.3812316715542523</v>
      </c>
    </row>
    <row r="179" spans="1:24" ht="12.75">
      <c r="A179" s="5" t="s">
        <v>146</v>
      </c>
      <c r="B179" s="5"/>
      <c r="C179" s="5"/>
      <c r="D179" s="5"/>
      <c r="E179" s="5"/>
      <c r="F179" s="5">
        <f>UK!H40+UK!H41</f>
        <v>1848</v>
      </c>
      <c r="G179" s="5">
        <f>UK!I40+UK!I41</f>
        <v>1704</v>
      </c>
      <c r="H179" s="5">
        <f>UK!J40+UK!J41</f>
        <v>1724</v>
      </c>
      <c r="I179" s="5">
        <f>UK!K40+UK!K41</f>
        <v>2136</v>
      </c>
      <c r="J179" s="95">
        <f>UK!L40+UK!L41</f>
        <v>2278</v>
      </c>
      <c r="K179" s="6">
        <f>UK!M41</f>
        <v>0</v>
      </c>
      <c r="L179" s="6">
        <f>UK!N41</f>
        <v>0</v>
      </c>
      <c r="M179" s="6"/>
      <c r="N179" s="6" t="e">
        <f>UK!#REF!+UK!P40</f>
        <v>#REF!</v>
      </c>
      <c r="O179" s="6"/>
      <c r="P179" s="65">
        <f>UK!R41</f>
        <v>0</v>
      </c>
      <c r="Q179" s="190">
        <f>UK!S41</f>
        <v>0</v>
      </c>
      <c r="R179" s="190">
        <f>UK!T41</f>
        <v>0</v>
      </c>
      <c r="S179" s="190">
        <f>UK!U41</f>
        <v>0</v>
      </c>
      <c r="T179" s="190">
        <f>UK!V41</f>
        <v>0</v>
      </c>
      <c r="U179" s="190">
        <f>UK!W41</f>
        <v>0</v>
      </c>
      <c r="V179" s="190">
        <f>UK!X41</f>
        <v>0</v>
      </c>
      <c r="W179" s="190">
        <f>UK!Y41</f>
        <v>0</v>
      </c>
      <c r="X179" s="157" t="e">
        <f t="shared" si="2"/>
        <v>#DIV/0!</v>
      </c>
    </row>
  </sheetData>
  <sheetProtection/>
  <printOptions gridLines="1"/>
  <pageMargins left="0.1968503937007874" right="0.1968503937007874" top="0.5511811023622047" bottom="0.4330708661417323" header="0.2362204724409449" footer="0.1968503937007874"/>
  <pageSetup fitToHeight="0" fitToWidth="1" horizontalDpi="300" verticalDpi="300" orientation="portrait" paperSize="9" scale="76" r:id="rId1"/>
  <headerFooter alignWithMargins="0">
    <oddHeader>&amp;C&amp;A</oddHeader>
    <oddFooter>&amp;CPage &amp;P</oddFooter>
  </headerFooter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G63" sqref="G63"/>
    </sheetView>
  </sheetViews>
  <sheetFormatPr defaultColWidth="11.421875" defaultRowHeight="12.75"/>
  <cols>
    <col min="1" max="1" width="40.8515625" style="0" bestFit="1" customWidth="1"/>
    <col min="2" max="2" width="14.8515625" style="0" customWidth="1"/>
    <col min="3" max="3" width="11.421875" style="201" customWidth="1"/>
    <col min="4" max="4" width="11.57421875" style="0" bestFit="1" customWidth="1"/>
    <col min="5" max="5" width="16.00390625" style="0" customWidth="1"/>
  </cols>
  <sheetData>
    <row r="2" ht="12.75">
      <c r="A2" t="s">
        <v>193</v>
      </c>
    </row>
    <row r="3" spans="2:6" ht="12.75">
      <c r="B3" s="176" t="s">
        <v>186</v>
      </c>
      <c r="C3" s="176" t="s">
        <v>186</v>
      </c>
      <c r="D3" s="176" t="s">
        <v>186</v>
      </c>
      <c r="E3" s="176" t="s">
        <v>186</v>
      </c>
      <c r="F3" s="176" t="s">
        <v>186</v>
      </c>
    </row>
    <row r="4" spans="2:6" ht="12.75">
      <c r="B4" s="16">
        <v>2009</v>
      </c>
      <c r="C4">
        <v>2010</v>
      </c>
      <c r="D4">
        <v>2011</v>
      </c>
      <c r="E4" s="176">
        <v>2007</v>
      </c>
      <c r="F4" s="176">
        <v>2008</v>
      </c>
    </row>
    <row r="5" spans="1:6" ht="18.75">
      <c r="A5" s="181" t="s">
        <v>149</v>
      </c>
      <c r="B5" s="202">
        <v>24</v>
      </c>
      <c r="C5" s="204">
        <v>0</v>
      </c>
      <c r="D5" s="204">
        <v>0</v>
      </c>
      <c r="E5" s="182">
        <v>1</v>
      </c>
      <c r="F5" s="182">
        <v>0</v>
      </c>
    </row>
    <row r="6" spans="1:6" ht="18.75">
      <c r="A6" s="181" t="s">
        <v>150</v>
      </c>
      <c r="B6" s="202">
        <v>226.6</v>
      </c>
      <c r="C6" s="204">
        <v>190</v>
      </c>
      <c r="D6" s="204">
        <v>212.39</v>
      </c>
      <c r="E6" s="182">
        <v>235.38</v>
      </c>
      <c r="F6" s="182">
        <v>234.4</v>
      </c>
    </row>
    <row r="7" spans="1:6" ht="18.75">
      <c r="A7" s="181" t="s">
        <v>151</v>
      </c>
      <c r="B7" s="202">
        <v>109</v>
      </c>
      <c r="C7" s="204">
        <v>203</v>
      </c>
      <c r="D7" s="204">
        <v>154.5</v>
      </c>
      <c r="E7" s="182">
        <v>127.54</v>
      </c>
      <c r="F7" s="182">
        <v>117.6</v>
      </c>
    </row>
    <row r="8" spans="1:6" ht="18.75">
      <c r="A8" s="181" t="s">
        <v>152</v>
      </c>
      <c r="B8" s="202">
        <v>292.1</v>
      </c>
      <c r="C8" s="204">
        <v>188</v>
      </c>
      <c r="D8" s="204">
        <v>143.6</v>
      </c>
      <c r="E8" s="182">
        <v>395.02</v>
      </c>
      <c r="F8" s="182">
        <v>290.1</v>
      </c>
    </row>
    <row r="9" spans="1:6" ht="18.75">
      <c r="A9" s="183" t="s">
        <v>153</v>
      </c>
      <c r="B9" s="202">
        <v>376.75</v>
      </c>
      <c r="C9" s="204">
        <v>339</v>
      </c>
      <c r="D9" s="204">
        <v>351.89</v>
      </c>
      <c r="E9" s="182">
        <v>283.99</v>
      </c>
      <c r="F9" s="182">
        <v>377.65</v>
      </c>
    </row>
    <row r="10" spans="1:6" ht="18.75">
      <c r="A10" s="181" t="s">
        <v>154</v>
      </c>
      <c r="B10" s="202">
        <v>11398</v>
      </c>
      <c r="C10" s="204">
        <v>5976</v>
      </c>
      <c r="D10" s="204">
        <v>3765.4199999999996</v>
      </c>
      <c r="E10" s="182">
        <v>9832.13</v>
      </c>
      <c r="F10" s="182">
        <v>11616.11</v>
      </c>
    </row>
    <row r="11" spans="1:6" ht="18.75">
      <c r="A11" s="183" t="s">
        <v>155</v>
      </c>
      <c r="B11" s="202">
        <v>16705</v>
      </c>
      <c r="C11" s="204">
        <v>11142</v>
      </c>
      <c r="D11" s="204">
        <v>7775.23</v>
      </c>
      <c r="E11" s="182">
        <v>13496.68</v>
      </c>
      <c r="F11" s="182">
        <v>15232.46</v>
      </c>
    </row>
    <row r="12" spans="1:6" ht="18.75">
      <c r="A12" s="181" t="s">
        <v>156</v>
      </c>
      <c r="B12" s="202">
        <v>3095</v>
      </c>
      <c r="C12" s="204">
        <v>2976</v>
      </c>
      <c r="D12" s="204">
        <v>3003.38</v>
      </c>
      <c r="E12" s="182">
        <v>3299.73</v>
      </c>
      <c r="F12" s="182">
        <v>3250.9</v>
      </c>
    </row>
    <row r="13" spans="1:6" ht="18.75">
      <c r="A13" s="181" t="s">
        <v>157</v>
      </c>
      <c r="B13" s="202">
        <v>9409</v>
      </c>
      <c r="C13" s="204">
        <v>6674</v>
      </c>
      <c r="D13" s="204">
        <v>5444.709999999999</v>
      </c>
      <c r="E13" s="182">
        <v>13456.18</v>
      </c>
      <c r="F13" s="182">
        <v>12578.2</v>
      </c>
    </row>
    <row r="14" spans="1:6" ht="18.75">
      <c r="A14" s="181" t="s">
        <v>158</v>
      </c>
      <c r="B14" s="202">
        <v>32300</v>
      </c>
      <c r="C14" s="204">
        <v>27873</v>
      </c>
      <c r="D14" s="204">
        <v>25920.764</v>
      </c>
      <c r="E14" s="182">
        <v>37294.84</v>
      </c>
      <c r="F14" s="182">
        <v>29493.56</v>
      </c>
    </row>
    <row r="15" spans="1:6" ht="18.75">
      <c r="A15" s="181" t="s">
        <v>159</v>
      </c>
      <c r="B15" s="202">
        <v>2605</v>
      </c>
      <c r="C15" s="204">
        <v>1208</v>
      </c>
      <c r="D15" s="204">
        <v>1372.5099999999998</v>
      </c>
      <c r="E15" s="182">
        <v>4197.14</v>
      </c>
      <c r="F15" s="182">
        <v>3711.8</v>
      </c>
    </row>
    <row r="16" spans="1:6" ht="18.75">
      <c r="A16" s="181" t="s">
        <v>160</v>
      </c>
      <c r="B16" s="202">
        <v>38762</v>
      </c>
      <c r="C16" s="204">
        <v>31424</v>
      </c>
      <c r="D16" s="204">
        <v>34603.91</v>
      </c>
      <c r="E16" s="182">
        <v>34603.72</v>
      </c>
      <c r="F16" s="182">
        <v>30217.34</v>
      </c>
    </row>
    <row r="17" spans="1:6" ht="18.75">
      <c r="A17" s="181" t="s">
        <v>161</v>
      </c>
      <c r="B17" s="202">
        <v>68742</v>
      </c>
      <c r="C17" s="204">
        <v>54530</v>
      </c>
      <c r="D17" s="204">
        <v>54508.909999999996</v>
      </c>
      <c r="E17" s="182">
        <v>74515.34</v>
      </c>
      <c r="F17" s="182">
        <v>58786.44</v>
      </c>
    </row>
    <row r="18" spans="1:6" ht="18.75">
      <c r="A18" s="181" t="s">
        <v>162</v>
      </c>
      <c r="B18" s="202">
        <v>4042.92</v>
      </c>
      <c r="C18" s="204">
        <v>2152</v>
      </c>
      <c r="D18" s="204">
        <v>2501.92</v>
      </c>
      <c r="E18" s="182">
        <v>5974.74</v>
      </c>
      <c r="F18" s="182">
        <v>4630.25</v>
      </c>
    </row>
    <row r="19" spans="1:6" ht="18.75">
      <c r="A19" s="181" t="s">
        <v>163</v>
      </c>
      <c r="B19" s="202">
        <v>20.2</v>
      </c>
      <c r="C19" s="204">
        <v>31</v>
      </c>
      <c r="D19" s="204">
        <v>24.75</v>
      </c>
      <c r="E19" s="182">
        <v>73.91</v>
      </c>
      <c r="F19" s="182">
        <v>98.4</v>
      </c>
    </row>
    <row r="20" spans="1:6" ht="18.75">
      <c r="A20" s="181" t="s">
        <v>164</v>
      </c>
      <c r="B20" s="202">
        <v>16211</v>
      </c>
      <c r="C20" s="204">
        <v>14486</v>
      </c>
      <c r="D20" s="204">
        <v>14488.75</v>
      </c>
      <c r="E20" s="182">
        <v>18860.39</v>
      </c>
      <c r="F20" s="182">
        <v>18475.92</v>
      </c>
    </row>
    <row r="21" spans="1:6" ht="18.75">
      <c r="A21" s="181" t="s">
        <v>165</v>
      </c>
      <c r="B21" s="202">
        <v>41.9</v>
      </c>
      <c r="C21" s="204">
        <v>66</v>
      </c>
      <c r="D21" s="204">
        <v>127.41</v>
      </c>
      <c r="E21" s="182">
        <v>104.32</v>
      </c>
      <c r="F21" s="182">
        <v>28.4</v>
      </c>
    </row>
    <row r="22" spans="1:6" ht="18.75">
      <c r="A22" s="181" t="s">
        <v>166</v>
      </c>
      <c r="B22" s="202">
        <v>9239</v>
      </c>
      <c r="C22" s="204">
        <v>9601</v>
      </c>
      <c r="D22" s="204">
        <v>9906.56</v>
      </c>
      <c r="E22" s="182">
        <v>12029.38</v>
      </c>
      <c r="F22" s="182">
        <v>8406.07</v>
      </c>
    </row>
    <row r="23" spans="1:6" ht="18.75">
      <c r="A23" s="183" t="s">
        <v>167</v>
      </c>
      <c r="B23" s="202">
        <v>72.7</v>
      </c>
      <c r="C23" s="204">
        <v>147</v>
      </c>
      <c r="D23" s="204">
        <v>140.32</v>
      </c>
      <c r="E23" s="182">
        <v>205.71</v>
      </c>
      <c r="F23" s="182">
        <v>124.7</v>
      </c>
    </row>
    <row r="24" spans="1:6" ht="18.75">
      <c r="A24" s="183"/>
      <c r="B24" s="201"/>
      <c r="C24" s="33"/>
      <c r="D24" s="33"/>
      <c r="E24" s="182"/>
      <c r="F24" s="182"/>
    </row>
    <row r="25" spans="1:6" ht="19.5">
      <c r="A25" s="184" t="s">
        <v>168</v>
      </c>
      <c r="B25" s="185">
        <v>213673</v>
      </c>
      <c r="C25" s="185">
        <v>169205</v>
      </c>
      <c r="D25" s="185">
        <v>164446.92400000003</v>
      </c>
      <c r="E25" s="185">
        <v>228987.14</v>
      </c>
      <c r="F25" s="185">
        <v>197670.3</v>
      </c>
    </row>
    <row r="26" spans="1:5" ht="19.5">
      <c r="A26" s="184"/>
      <c r="B26" s="201"/>
      <c r="C26"/>
      <c r="E26" s="185"/>
    </row>
    <row r="27" spans="1:6" ht="15">
      <c r="A27" s="186"/>
      <c r="B27" s="16">
        <v>2009</v>
      </c>
      <c r="C27" s="205">
        <v>2010</v>
      </c>
      <c r="D27" s="205">
        <v>2011</v>
      </c>
      <c r="E27" s="176">
        <v>2007</v>
      </c>
      <c r="F27" s="176">
        <v>2008</v>
      </c>
    </row>
    <row r="28" spans="1:6" ht="18.75">
      <c r="A28" s="183" t="s">
        <v>169</v>
      </c>
      <c r="B28" s="203">
        <v>127.06</v>
      </c>
      <c r="C28" s="203">
        <v>185</v>
      </c>
      <c r="D28" s="220">
        <v>141.85</v>
      </c>
      <c r="E28" s="182">
        <v>252.28</v>
      </c>
      <c r="F28" s="182">
        <v>140.99</v>
      </c>
    </row>
    <row r="29" spans="1:6" ht="18.75">
      <c r="A29" s="181" t="s">
        <v>170</v>
      </c>
      <c r="B29" s="203">
        <v>86</v>
      </c>
      <c r="C29" s="203">
        <v>100</v>
      </c>
      <c r="D29" s="220">
        <v>36</v>
      </c>
      <c r="E29" s="182">
        <v>99</v>
      </c>
      <c r="F29" s="182">
        <v>95</v>
      </c>
    </row>
    <row r="30" spans="1:6" ht="18.75">
      <c r="A30" s="181" t="s">
        <v>171</v>
      </c>
      <c r="B30" s="203">
        <v>2965.48</v>
      </c>
      <c r="C30" s="203">
        <v>3957</v>
      </c>
      <c r="D30" s="220">
        <v>2525.06</v>
      </c>
      <c r="E30" s="182">
        <v>3416.79</v>
      </c>
      <c r="F30" s="182">
        <v>2870.99</v>
      </c>
    </row>
    <row r="31" spans="1:6" ht="18.75">
      <c r="A31" s="181" t="s">
        <v>172</v>
      </c>
      <c r="B31" s="203">
        <v>37890.32</v>
      </c>
      <c r="C31" s="203">
        <v>40534</v>
      </c>
      <c r="D31" s="220">
        <v>41522.68</v>
      </c>
      <c r="E31" s="182">
        <v>39844.12</v>
      </c>
      <c r="F31" s="182">
        <v>38246.6</v>
      </c>
    </row>
    <row r="32" spans="1:6" ht="18.75">
      <c r="A32" s="181" t="s">
        <v>173</v>
      </c>
      <c r="B32" s="203">
        <v>265.8</v>
      </c>
      <c r="C32" s="203">
        <v>326</v>
      </c>
      <c r="D32" s="220">
        <v>95.99</v>
      </c>
      <c r="E32" s="182">
        <v>203.8</v>
      </c>
      <c r="F32" s="182">
        <v>150.55</v>
      </c>
    </row>
    <row r="33" spans="1:6" ht="18.75">
      <c r="A33" s="181" t="s">
        <v>174</v>
      </c>
      <c r="B33" s="203">
        <v>25176.5</v>
      </c>
      <c r="C33" s="203">
        <v>28803</v>
      </c>
      <c r="D33" s="220">
        <v>23952.65</v>
      </c>
      <c r="E33" s="182">
        <v>20934.55</v>
      </c>
      <c r="F33" s="182">
        <v>17968.74</v>
      </c>
    </row>
    <row r="34" spans="1:6" ht="18.75">
      <c r="A34" s="183" t="s">
        <v>175</v>
      </c>
      <c r="B34" s="203">
        <v>5030.058</v>
      </c>
      <c r="C34" s="203">
        <v>5542</v>
      </c>
      <c r="D34" s="220">
        <v>5810.63</v>
      </c>
      <c r="E34" s="182">
        <v>3588.01</v>
      </c>
      <c r="F34" s="182">
        <v>3593.92</v>
      </c>
    </row>
    <row r="35" spans="1:6" ht="18.75">
      <c r="A35" s="181" t="s">
        <v>176</v>
      </c>
      <c r="B35" s="203">
        <v>228</v>
      </c>
      <c r="C35" s="203">
        <v>207</v>
      </c>
      <c r="D35" s="220">
        <v>225.75</v>
      </c>
      <c r="E35" s="182">
        <v>237.92</v>
      </c>
      <c r="F35" s="182">
        <v>194.5</v>
      </c>
    </row>
    <row r="36" spans="1:6" ht="18.75">
      <c r="A36" s="181" t="s">
        <v>177</v>
      </c>
      <c r="B36" s="203">
        <v>5694.81</v>
      </c>
      <c r="C36" s="203">
        <v>5486</v>
      </c>
      <c r="D36" s="220">
        <v>5230.36</v>
      </c>
      <c r="E36" s="182">
        <v>4053.32</v>
      </c>
      <c r="F36" s="182">
        <v>4456.26</v>
      </c>
    </row>
    <row r="37" spans="1:6" ht="18.75">
      <c r="A37" s="181" t="s">
        <v>178</v>
      </c>
      <c r="B37" s="203">
        <v>18684.79</v>
      </c>
      <c r="C37" s="203">
        <v>19423</v>
      </c>
      <c r="D37" s="220">
        <v>15890.609999999997</v>
      </c>
      <c r="E37" s="182">
        <v>20376.84</v>
      </c>
      <c r="F37" s="182">
        <v>16439.71</v>
      </c>
    </row>
    <row r="38" spans="1:6" ht="18.75">
      <c r="A38" s="181" t="s">
        <v>179</v>
      </c>
      <c r="B38" s="203">
        <v>4933</v>
      </c>
      <c r="C38" s="203">
        <v>4801</v>
      </c>
      <c r="D38" s="220">
        <v>4726.55</v>
      </c>
      <c r="E38" s="182">
        <v>1924.23</v>
      </c>
      <c r="F38" s="182">
        <v>4796.2</v>
      </c>
    </row>
    <row r="39" spans="1:6" ht="18.75">
      <c r="A39" s="181" t="s">
        <v>180</v>
      </c>
      <c r="B39" s="203">
        <v>0</v>
      </c>
      <c r="C39" s="203">
        <v>0</v>
      </c>
      <c r="D39" s="220">
        <v>0</v>
      </c>
      <c r="E39" s="182">
        <v>4932</v>
      </c>
      <c r="F39" s="182">
        <v>917.07</v>
      </c>
    </row>
    <row r="40" spans="1:6" ht="18.75">
      <c r="A40" s="181" t="s">
        <v>181</v>
      </c>
      <c r="B40" s="203">
        <v>412.38</v>
      </c>
      <c r="C40" s="203">
        <v>1145</v>
      </c>
      <c r="D40" s="220">
        <v>912.0799999999999</v>
      </c>
      <c r="E40" s="182">
        <v>358.65</v>
      </c>
      <c r="F40" s="182">
        <v>119.51</v>
      </c>
    </row>
    <row r="41" spans="1:6" ht="18.75">
      <c r="A41" s="181" t="s">
        <v>182</v>
      </c>
      <c r="B41" s="203">
        <v>15329.28</v>
      </c>
      <c r="C41" s="203">
        <v>12828</v>
      </c>
      <c r="D41" s="220">
        <v>11984</v>
      </c>
      <c r="E41" s="182">
        <v>10641.78</v>
      </c>
      <c r="F41" s="182">
        <v>10283.1</v>
      </c>
    </row>
    <row r="42" spans="1:6" ht="18.75">
      <c r="A42" s="181" t="s">
        <v>183</v>
      </c>
      <c r="B42" s="203">
        <v>23509.49</v>
      </c>
      <c r="C42" s="203">
        <v>25089</v>
      </c>
      <c r="D42" s="220">
        <v>22696.04</v>
      </c>
      <c r="E42" s="182">
        <v>17416.93</v>
      </c>
      <c r="F42" s="182">
        <v>14992.72</v>
      </c>
    </row>
    <row r="43" spans="1:6" ht="18.75">
      <c r="A43" s="181" t="s">
        <v>184</v>
      </c>
      <c r="B43" s="203">
        <v>1151.28</v>
      </c>
      <c r="C43" s="203">
        <v>881</v>
      </c>
      <c r="D43" s="220">
        <v>1409.84</v>
      </c>
      <c r="E43" s="182">
        <v>1019.33</v>
      </c>
      <c r="F43" s="182">
        <v>1043.76</v>
      </c>
    </row>
    <row r="44" spans="1:7" ht="18.75">
      <c r="A44" s="183"/>
      <c r="E44" s="97"/>
      <c r="F44" s="182"/>
      <c r="G44" s="182"/>
    </row>
    <row r="45" spans="1:7" ht="18.75">
      <c r="A45" s="183"/>
      <c r="F45" s="182"/>
      <c r="G45" s="182"/>
    </row>
    <row r="46" spans="1:7" ht="19.5">
      <c r="A46" s="184" t="s">
        <v>185</v>
      </c>
      <c r="C46" s="185">
        <v>141393</v>
      </c>
      <c r="D46" s="185">
        <v>149307</v>
      </c>
      <c r="E46" s="185">
        <v>137160</v>
      </c>
      <c r="F46" s="185">
        <v>129299.55</v>
      </c>
      <c r="G46" s="185">
        <v>116309.62</v>
      </c>
    </row>
    <row r="50" spans="2:4" ht="12.75">
      <c r="B50" s="201" t="s">
        <v>194</v>
      </c>
      <c r="C50" t="s">
        <v>195</v>
      </c>
      <c r="D50" t="s">
        <v>196</v>
      </c>
    </row>
    <row r="51" spans="1:5" ht="12.75">
      <c r="A51" t="s">
        <v>188</v>
      </c>
      <c r="B51" s="37">
        <f>2464+55934+25930+11762+4401+8046+9523+5227</f>
        <v>123287</v>
      </c>
      <c r="C51" s="37">
        <f>+D51-B51</f>
        <v>41159.92400000003</v>
      </c>
      <c r="D51" s="37">
        <f>+D25</f>
        <v>164446.92400000003</v>
      </c>
      <c r="E51" s="37"/>
    </row>
    <row r="53" spans="2:4" ht="12.75">
      <c r="B53" s="201" t="s">
        <v>190</v>
      </c>
      <c r="C53" t="s">
        <v>192</v>
      </c>
      <c r="D53" t="s">
        <v>189</v>
      </c>
    </row>
    <row r="54" spans="1:5" ht="12.75">
      <c r="A54" t="s">
        <v>191</v>
      </c>
      <c r="B54" s="37">
        <f>14974+33261+1082+3535+8982+5443+9230</f>
        <v>76507</v>
      </c>
      <c r="C54" s="37">
        <f>+D54-B54</f>
        <v>60653</v>
      </c>
      <c r="D54" s="37">
        <f>+E46</f>
        <v>137160</v>
      </c>
      <c r="E54" s="37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6"/>
  <sheetViews>
    <sheetView zoomScale="75" zoomScaleNormal="75" zoomScalePageLayoutView="0" workbookViewId="0" topLeftCell="A1">
      <selection activeCell="G21" sqref="G21"/>
    </sheetView>
  </sheetViews>
  <sheetFormatPr defaultColWidth="11.421875" defaultRowHeight="12.75"/>
  <cols>
    <col min="3" max="3" width="5.140625" style="0" customWidth="1"/>
  </cols>
  <sheetData>
    <row r="1" spans="1:9" ht="16.5" customHeight="1">
      <c r="A1" s="4" t="s">
        <v>100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72" t="s">
        <v>41</v>
      </c>
      <c r="B2" s="373"/>
      <c r="C2" s="373"/>
      <c r="D2" s="373"/>
      <c r="E2" s="373"/>
      <c r="F2" s="373"/>
      <c r="G2" s="373"/>
      <c r="H2" s="373"/>
      <c r="I2" s="373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15" s="33" customFormat="1" ht="19.5" customHeight="1">
      <c r="A4" s="30" t="s">
        <v>0</v>
      </c>
      <c r="B4" s="31"/>
      <c r="C4" s="32"/>
      <c r="D4" s="112">
        <v>1997</v>
      </c>
      <c r="E4" s="112">
        <v>1998</v>
      </c>
      <c r="F4" s="112">
        <v>1999</v>
      </c>
      <c r="G4" s="112">
        <v>2000</v>
      </c>
      <c r="H4" s="112">
        <v>2001</v>
      </c>
      <c r="I4" s="112">
        <v>2002</v>
      </c>
      <c r="J4" s="112">
        <v>2003</v>
      </c>
      <c r="K4" s="112">
        <v>2004</v>
      </c>
      <c r="L4" s="112">
        <v>2005</v>
      </c>
      <c r="M4" s="112">
        <v>2006</v>
      </c>
      <c r="N4" s="112">
        <v>2007</v>
      </c>
      <c r="O4" s="112">
        <v>2008</v>
      </c>
    </row>
    <row r="5" spans="1:15" s="37" customFormat="1" ht="19.5" customHeight="1">
      <c r="A5" s="34" t="s">
        <v>1</v>
      </c>
      <c r="B5" s="35"/>
      <c r="C5" s="36"/>
      <c r="D5" s="6"/>
      <c r="E5" s="6"/>
      <c r="F5" s="6"/>
      <c r="G5" s="6">
        <v>25300</v>
      </c>
      <c r="H5" s="6">
        <v>20800</v>
      </c>
      <c r="I5" s="6">
        <v>16300</v>
      </c>
      <c r="J5" s="6">
        <v>12300</v>
      </c>
      <c r="K5" s="6">
        <v>12900</v>
      </c>
      <c r="L5" s="20"/>
      <c r="M5" s="20"/>
      <c r="N5" s="20"/>
      <c r="O5" s="20"/>
    </row>
    <row r="6" spans="1:15" s="33" customFormat="1" ht="19.5" customHeight="1">
      <c r="A6" s="38" t="s">
        <v>90</v>
      </c>
      <c r="B6" s="39"/>
      <c r="C6" s="4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3" customFormat="1" ht="19.5" customHeight="1">
      <c r="A7" s="38" t="s">
        <v>3</v>
      </c>
      <c r="B7" s="39"/>
      <c r="C7" s="40"/>
      <c r="D7" s="6"/>
      <c r="E7" s="6"/>
      <c r="F7" s="6"/>
      <c r="G7" s="6">
        <v>11100</v>
      </c>
      <c r="H7" s="6">
        <v>11100</v>
      </c>
      <c r="I7" s="6">
        <v>8100</v>
      </c>
      <c r="J7" s="6">
        <v>6800</v>
      </c>
      <c r="K7" s="6">
        <v>6800</v>
      </c>
      <c r="L7" s="6"/>
      <c r="M7" s="6"/>
      <c r="N7" s="6"/>
      <c r="O7" s="6"/>
    </row>
    <row r="8" spans="1:15" s="33" customFormat="1" ht="19.5" customHeight="1">
      <c r="A8" s="38" t="s">
        <v>4</v>
      </c>
      <c r="B8" s="39"/>
      <c r="C8" s="40"/>
      <c r="D8" s="6"/>
      <c r="E8" s="6"/>
      <c r="F8" s="6"/>
      <c r="G8" s="6">
        <v>14500</v>
      </c>
      <c r="H8" s="6">
        <v>15200</v>
      </c>
      <c r="I8" s="6">
        <v>10500</v>
      </c>
      <c r="J8" s="6">
        <v>9100</v>
      </c>
      <c r="K8" s="6">
        <v>10100</v>
      </c>
      <c r="L8" s="6"/>
      <c r="M8" s="6"/>
      <c r="N8" s="6"/>
      <c r="O8" s="6"/>
    </row>
    <row r="9" spans="1:15" s="33" customFormat="1" ht="19.5" customHeight="1">
      <c r="A9" s="38" t="s">
        <v>99</v>
      </c>
      <c r="B9" s="39"/>
      <c r="C9" s="40"/>
      <c r="D9" s="6"/>
      <c r="E9" s="6"/>
      <c r="F9" s="6"/>
      <c r="G9" s="6">
        <v>10700</v>
      </c>
      <c r="H9" s="6">
        <v>9600</v>
      </c>
      <c r="I9" s="6">
        <v>7700</v>
      </c>
      <c r="J9" s="6">
        <v>4700</v>
      </c>
      <c r="K9" s="6">
        <v>5000</v>
      </c>
      <c r="L9" s="6"/>
      <c r="M9" s="6"/>
      <c r="N9" s="6"/>
      <c r="O9" s="6"/>
    </row>
    <row r="10" spans="1:15" s="33" customFormat="1" ht="19.5" customHeight="1">
      <c r="A10" s="38" t="s">
        <v>5</v>
      </c>
      <c r="B10" s="39"/>
      <c r="C10" s="40"/>
      <c r="D10" s="6"/>
      <c r="E10" s="6"/>
      <c r="F10" s="6"/>
      <c r="G10" s="6">
        <v>17500</v>
      </c>
      <c r="H10" s="6">
        <v>11600</v>
      </c>
      <c r="I10" s="6">
        <v>10100</v>
      </c>
      <c r="J10" s="6">
        <v>8100</v>
      </c>
      <c r="K10" s="6">
        <v>6100</v>
      </c>
      <c r="L10" s="6"/>
      <c r="M10" s="6"/>
      <c r="N10" s="6"/>
      <c r="O10" s="6"/>
    </row>
    <row r="11" spans="1:15" s="33" customFormat="1" ht="19.5" customHeight="1">
      <c r="A11" s="38" t="s">
        <v>6</v>
      </c>
      <c r="B11" s="39"/>
      <c r="C11" s="40"/>
      <c r="D11" s="6"/>
      <c r="E11" s="6"/>
      <c r="F11" s="6"/>
      <c r="G11" s="6">
        <v>37900</v>
      </c>
      <c r="H11" s="6">
        <v>34800</v>
      </c>
      <c r="I11" s="6">
        <v>26100</v>
      </c>
      <c r="J11" s="6">
        <v>20300</v>
      </c>
      <c r="K11" s="6">
        <v>20500</v>
      </c>
      <c r="L11" s="6"/>
      <c r="M11" s="6"/>
      <c r="N11" s="6"/>
      <c r="O11" s="6"/>
    </row>
    <row r="12" spans="1:15" s="33" customFormat="1" ht="19.5" customHeight="1">
      <c r="A12" s="38" t="s">
        <v>7</v>
      </c>
      <c r="B12" s="39"/>
      <c r="C12" s="40"/>
      <c r="D12" s="6"/>
      <c r="E12" s="6"/>
      <c r="F12" s="6"/>
      <c r="G12" s="6">
        <v>1100</v>
      </c>
      <c r="H12" s="6">
        <v>1400</v>
      </c>
      <c r="I12" s="6">
        <v>1900</v>
      </c>
      <c r="J12" s="6">
        <v>1500</v>
      </c>
      <c r="K12" s="6">
        <v>2100</v>
      </c>
      <c r="L12" s="6"/>
      <c r="M12" s="6"/>
      <c r="N12" s="6"/>
      <c r="O12" s="6"/>
    </row>
    <row r="13" spans="1:15" s="33" customFormat="1" ht="19.5" customHeight="1">
      <c r="A13" s="38" t="s">
        <v>8</v>
      </c>
      <c r="B13" s="39"/>
      <c r="C13" s="4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44" customFormat="1" ht="19.5" customHeight="1">
      <c r="A14" s="41" t="s">
        <v>9</v>
      </c>
      <c r="B14" s="42"/>
      <c r="C14" s="43"/>
      <c r="D14" s="117">
        <v>183688</v>
      </c>
      <c r="E14" s="117">
        <v>163841</v>
      </c>
      <c r="F14" s="117">
        <v>142882</v>
      </c>
      <c r="G14" s="117">
        <v>117402</v>
      </c>
      <c r="H14" s="117">
        <v>108564</v>
      </c>
      <c r="I14" s="117">
        <v>83225</v>
      </c>
      <c r="J14" s="117">
        <v>62195</v>
      </c>
      <c r="K14" s="117">
        <f>SUM(K5:K13)</f>
        <v>63500</v>
      </c>
      <c r="L14" s="117"/>
      <c r="M14" s="117"/>
      <c r="N14" s="117"/>
      <c r="O14" s="117"/>
    </row>
    <row r="15" spans="1:15" s="33" customFormat="1" ht="19.5" customHeight="1">
      <c r="A15" s="38" t="s">
        <v>10</v>
      </c>
      <c r="B15" s="39"/>
      <c r="C15" s="40"/>
      <c r="D15" s="6"/>
      <c r="E15" s="6"/>
      <c r="F15" s="6"/>
      <c r="G15" s="6"/>
      <c r="H15" s="6"/>
      <c r="I15" s="6">
        <v>215</v>
      </c>
      <c r="J15" s="6">
        <v>205</v>
      </c>
      <c r="K15" s="6">
        <v>218</v>
      </c>
      <c r="L15" s="6"/>
      <c r="M15" s="6"/>
      <c r="N15" s="6"/>
      <c r="O15" s="6"/>
    </row>
    <row r="16" spans="1:15" s="37" customFormat="1" ht="19.5" customHeight="1">
      <c r="A16" s="45" t="s">
        <v>11</v>
      </c>
      <c r="B16" s="46"/>
      <c r="C16" s="47"/>
      <c r="D16" s="6"/>
      <c r="E16" s="6"/>
      <c r="F16" s="6"/>
      <c r="G16" s="6"/>
      <c r="H16" s="6"/>
      <c r="I16" s="6"/>
      <c r="J16" s="6"/>
      <c r="K16" s="6"/>
      <c r="L16" s="20"/>
      <c r="M16" s="20"/>
      <c r="N16" s="20"/>
      <c r="O16" s="20"/>
    </row>
    <row r="17" spans="1:15" s="33" customFormat="1" ht="19.5" customHeight="1">
      <c r="A17" s="38" t="s">
        <v>12</v>
      </c>
      <c r="B17" s="39"/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33" customFormat="1" ht="19.5" customHeight="1">
      <c r="A18" s="38" t="s">
        <v>13</v>
      </c>
      <c r="B18" s="39"/>
      <c r="C18" s="40"/>
      <c r="D18" s="6"/>
      <c r="E18" s="6"/>
      <c r="F18" s="6"/>
      <c r="G18" s="6"/>
      <c r="H18" s="6"/>
      <c r="I18" s="6">
        <v>2658</v>
      </c>
      <c r="J18" s="6">
        <v>1800</v>
      </c>
      <c r="K18" s="6">
        <v>1782</v>
      </c>
      <c r="L18" s="6"/>
      <c r="M18" s="6"/>
      <c r="N18" s="6"/>
      <c r="O18" s="6"/>
    </row>
    <row r="19" spans="1:15" s="33" customFormat="1" ht="19.5" customHeight="1">
      <c r="A19" s="38" t="s">
        <v>14</v>
      </c>
      <c r="B19" s="39"/>
      <c r="C19" s="4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33" customFormat="1" ht="19.5" customHeight="1">
      <c r="A20" s="38" t="s">
        <v>15</v>
      </c>
      <c r="B20" s="39"/>
      <c r="C20" s="40"/>
      <c r="D20" s="6"/>
      <c r="E20" s="6"/>
      <c r="F20" s="6"/>
      <c r="G20" s="6"/>
      <c r="H20" s="6"/>
      <c r="I20" s="6">
        <v>221</v>
      </c>
      <c r="J20" s="6">
        <v>232</v>
      </c>
      <c r="K20" s="6">
        <v>276</v>
      </c>
      <c r="L20" s="6"/>
      <c r="M20" s="6"/>
      <c r="N20" s="6"/>
      <c r="O20" s="6"/>
    </row>
    <row r="21" spans="1:15" s="33" customFormat="1" ht="19.5" customHeight="1">
      <c r="A21" s="38" t="s">
        <v>16</v>
      </c>
      <c r="B21" s="39"/>
      <c r="C21" s="4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33" customFormat="1" ht="19.5" customHeight="1">
      <c r="A22" s="38" t="s">
        <v>17</v>
      </c>
      <c r="B22" s="39"/>
      <c r="C22" s="40"/>
      <c r="D22" s="6"/>
      <c r="E22" s="6"/>
      <c r="F22" s="6"/>
      <c r="G22" s="6"/>
      <c r="H22" s="6"/>
      <c r="I22" s="6">
        <v>1935</v>
      </c>
      <c r="J22" s="6">
        <v>1786</v>
      </c>
      <c r="K22" s="6">
        <v>3452</v>
      </c>
      <c r="L22" s="6"/>
      <c r="M22" s="6"/>
      <c r="N22" s="6"/>
      <c r="O22" s="6"/>
    </row>
    <row r="23" spans="1:15" s="33" customFormat="1" ht="19.5" customHeight="1">
      <c r="A23" s="38" t="s">
        <v>18</v>
      </c>
      <c r="B23" s="39"/>
      <c r="C23" s="4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33" customFormat="1" ht="19.5" customHeight="1">
      <c r="A24" s="38" t="s">
        <v>19</v>
      </c>
      <c r="B24" s="39"/>
      <c r="C24" s="4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44" customFormat="1" ht="19.5" customHeight="1">
      <c r="A25" s="41" t="s">
        <v>20</v>
      </c>
      <c r="B25" s="42"/>
      <c r="C25" s="43"/>
      <c r="D25" s="117">
        <v>11317</v>
      </c>
      <c r="E25" s="117">
        <v>10633</v>
      </c>
      <c r="F25" s="117">
        <v>11150</v>
      </c>
      <c r="G25" s="117">
        <v>10127</v>
      </c>
      <c r="H25" s="117">
        <v>9234</v>
      </c>
      <c r="I25" s="117">
        <v>6564</v>
      </c>
      <c r="J25" s="117">
        <v>5936</v>
      </c>
      <c r="K25" s="117">
        <f>SUM(K15:K24)</f>
        <v>5728</v>
      </c>
      <c r="L25" s="117"/>
      <c r="M25" s="117"/>
      <c r="N25" s="117"/>
      <c r="O25" s="117"/>
    </row>
    <row r="26" spans="1:15" s="33" customFormat="1" ht="19.5" customHeight="1">
      <c r="A26" s="38" t="s">
        <v>21</v>
      </c>
      <c r="B26" s="39"/>
      <c r="C26" s="4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37" customFormat="1" ht="19.5" customHeight="1">
      <c r="A27" s="45" t="s">
        <v>22</v>
      </c>
      <c r="B27" s="46"/>
      <c r="C27" s="4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33" customFormat="1" ht="19.5" customHeight="1">
      <c r="A28" s="38" t="s">
        <v>23</v>
      </c>
      <c r="B28" s="39"/>
      <c r="C28" s="4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s="33" customFormat="1" ht="19.5" customHeight="1">
      <c r="A29" s="48" t="s">
        <v>24</v>
      </c>
      <c r="B29" s="49"/>
      <c r="C29" s="5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s="33" customFormat="1" ht="19.5" customHeight="1">
      <c r="A30" s="38" t="s">
        <v>25</v>
      </c>
      <c r="B30" s="39"/>
      <c r="C30" s="4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s="33" customFormat="1" ht="19.5" customHeight="1">
      <c r="A31" s="48" t="s">
        <v>26</v>
      </c>
      <c r="B31" s="39"/>
      <c r="C31" s="4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s="33" customFormat="1" ht="19.5" customHeight="1">
      <c r="A32" s="38" t="s">
        <v>27</v>
      </c>
      <c r="B32" s="39"/>
      <c r="C32" s="4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s="33" customFormat="1" ht="19.5" customHeight="1">
      <c r="A33" s="38" t="s">
        <v>28</v>
      </c>
      <c r="B33" s="39"/>
      <c r="C33" s="4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s="44" customFormat="1" ht="19.5" customHeight="1">
      <c r="A34" s="41" t="s">
        <v>29</v>
      </c>
      <c r="B34" s="42"/>
      <c r="C34" s="43"/>
      <c r="D34" s="117">
        <v>16200</v>
      </c>
      <c r="E34" s="117">
        <v>13200</v>
      </c>
      <c r="F34" s="117">
        <v>11000</v>
      </c>
      <c r="G34" s="117">
        <v>9700</v>
      </c>
      <c r="H34" s="117">
        <v>8100</v>
      </c>
      <c r="I34" s="117">
        <v>6100</v>
      </c>
      <c r="J34" s="117">
        <v>4700</v>
      </c>
      <c r="K34" s="117">
        <v>4800</v>
      </c>
      <c r="L34" s="117"/>
      <c r="M34" s="117"/>
      <c r="N34" s="117"/>
      <c r="O34" s="117"/>
    </row>
    <row r="35" spans="1:15" s="33" customFormat="1" ht="19.5" customHeight="1">
      <c r="A35" s="38" t="s">
        <v>91</v>
      </c>
      <c r="B35" s="39"/>
      <c r="C35" s="40"/>
      <c r="D35" s="6"/>
      <c r="E35" s="6"/>
      <c r="F35" s="6"/>
      <c r="G35" s="6"/>
      <c r="H35" s="6"/>
      <c r="I35" s="6"/>
      <c r="J35" s="6"/>
      <c r="K35" s="6" t="s">
        <v>39</v>
      </c>
      <c r="L35" s="6"/>
      <c r="M35" s="6"/>
      <c r="N35" s="6"/>
      <c r="O35" s="6"/>
    </row>
    <row r="36" spans="1:15" s="37" customFormat="1" ht="19.5" customHeight="1">
      <c r="A36" s="45" t="s">
        <v>31</v>
      </c>
      <c r="B36" s="46"/>
      <c r="C36" s="4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37" customFormat="1" ht="19.5" customHeight="1">
      <c r="A37" s="45" t="s">
        <v>93</v>
      </c>
      <c r="B37" s="46"/>
      <c r="C37" s="47"/>
      <c r="D37" s="400"/>
      <c r="E37" s="400"/>
      <c r="F37" s="400"/>
      <c r="G37" s="400">
        <v>1500</v>
      </c>
      <c r="H37" s="400">
        <v>1400</v>
      </c>
      <c r="I37" s="400">
        <v>1200</v>
      </c>
      <c r="J37" s="400">
        <v>1600</v>
      </c>
      <c r="K37" s="400">
        <v>1800</v>
      </c>
      <c r="L37" s="400"/>
      <c r="M37" s="20"/>
      <c r="N37" s="20"/>
      <c r="O37" s="20"/>
    </row>
    <row r="38" spans="1:15" s="33" customFormat="1" ht="19.5" customHeight="1">
      <c r="A38" s="45" t="s">
        <v>92</v>
      </c>
      <c r="B38" s="39"/>
      <c r="C38" s="40"/>
      <c r="D38" s="401"/>
      <c r="E38" s="401"/>
      <c r="F38" s="401"/>
      <c r="G38" s="401"/>
      <c r="H38" s="401"/>
      <c r="I38" s="401"/>
      <c r="J38" s="401"/>
      <c r="K38" s="401"/>
      <c r="L38" s="401"/>
      <c r="M38" s="6"/>
      <c r="N38" s="6"/>
      <c r="O38" s="6"/>
    </row>
    <row r="39" spans="1:15" s="33" customFormat="1" ht="19.5" customHeight="1">
      <c r="A39" s="38" t="s">
        <v>33</v>
      </c>
      <c r="B39" s="39"/>
      <c r="C39" s="4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s="33" customFormat="1" ht="19.5" customHeight="1">
      <c r="A40" s="38" t="s">
        <v>34</v>
      </c>
      <c r="B40" s="39"/>
      <c r="C40" s="40"/>
      <c r="D40" s="6"/>
      <c r="E40" s="6"/>
      <c r="F40" s="6"/>
      <c r="G40" s="6">
        <v>6900</v>
      </c>
      <c r="H40" s="6">
        <v>7000</v>
      </c>
      <c r="I40" s="6">
        <v>6900</v>
      </c>
      <c r="J40" s="6">
        <v>6300</v>
      </c>
      <c r="K40" s="6">
        <v>6200</v>
      </c>
      <c r="L40" s="6"/>
      <c r="M40" s="6"/>
      <c r="N40" s="6"/>
      <c r="O40" s="6"/>
    </row>
    <row r="41" spans="1:15" s="33" customFormat="1" ht="19.5" customHeight="1">
      <c r="A41" s="38" t="s">
        <v>35</v>
      </c>
      <c r="B41" s="39"/>
      <c r="C41" s="40"/>
      <c r="D41" s="6">
        <v>2407</v>
      </c>
      <c r="E41" s="6">
        <v>2171</v>
      </c>
      <c r="F41" s="6">
        <v>1735</v>
      </c>
      <c r="G41" s="6">
        <v>1482</v>
      </c>
      <c r="H41" s="6">
        <v>1141</v>
      </c>
      <c r="I41" s="6">
        <v>1209</v>
      </c>
      <c r="J41" s="6">
        <v>1509</v>
      </c>
      <c r="K41" s="6">
        <v>1108</v>
      </c>
      <c r="L41" s="6"/>
      <c r="M41" s="6"/>
      <c r="N41" s="6"/>
      <c r="O41" s="6"/>
    </row>
    <row r="42" spans="1:15" s="33" customFormat="1" ht="19.5" customHeight="1">
      <c r="A42" s="38" t="s">
        <v>36</v>
      </c>
      <c r="B42" s="39"/>
      <c r="C42" s="40"/>
      <c r="D42" s="6"/>
      <c r="E42" s="6"/>
      <c r="F42" s="6"/>
      <c r="G42" s="6">
        <v>500</v>
      </c>
      <c r="H42" s="6">
        <v>700</v>
      </c>
      <c r="I42" s="6">
        <v>800</v>
      </c>
      <c r="J42" s="6">
        <v>700</v>
      </c>
      <c r="K42" s="6">
        <v>400</v>
      </c>
      <c r="L42" s="6"/>
      <c r="M42" s="6"/>
      <c r="N42" s="6"/>
      <c r="O42" s="6"/>
    </row>
    <row r="43" spans="1:15" s="33" customFormat="1" ht="19.5" customHeight="1">
      <c r="A43" s="38" t="s">
        <v>37</v>
      </c>
      <c r="B43" s="39"/>
      <c r="C43" s="4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s="62" customFormat="1" ht="19.5" customHeight="1">
      <c r="A44" s="51" t="s">
        <v>38</v>
      </c>
      <c r="B44" s="52"/>
      <c r="C44" s="53"/>
      <c r="D44" s="121">
        <f>D34+D25+D14</f>
        <v>211205</v>
      </c>
      <c r="E44" s="121">
        <f aca="true" t="shared" si="0" ref="E44:K44">E34+E25+E14</f>
        <v>187674</v>
      </c>
      <c r="F44" s="121">
        <f t="shared" si="0"/>
        <v>165032</v>
      </c>
      <c r="G44" s="121">
        <f t="shared" si="0"/>
        <v>137229</v>
      </c>
      <c r="H44" s="121">
        <f t="shared" si="0"/>
        <v>125898</v>
      </c>
      <c r="I44" s="121">
        <f t="shared" si="0"/>
        <v>95889</v>
      </c>
      <c r="J44" s="121">
        <f t="shared" si="0"/>
        <v>72831</v>
      </c>
      <c r="K44" s="121">
        <f t="shared" si="0"/>
        <v>74028</v>
      </c>
      <c r="L44" s="117"/>
      <c r="M44" s="117"/>
      <c r="N44" s="117"/>
      <c r="O44" s="117"/>
    </row>
    <row r="45" spans="6:256" s="25" customFormat="1" ht="12.75">
      <c r="F45" s="26" t="s">
        <v>39</v>
      </c>
      <c r="G45" s="26" t="s">
        <v>39</v>
      </c>
      <c r="I45" s="27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8" s="29" customFormat="1" ht="12.75">
      <c r="A46" s="28"/>
      <c r="B46" s="28"/>
      <c r="C46" s="28"/>
      <c r="D46" s="28"/>
      <c r="E46" s="28"/>
      <c r="F46" s="28"/>
      <c r="G46" s="28"/>
      <c r="H46" s="28"/>
    </row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</sheetData>
  <sheetProtection/>
  <mergeCells count="10">
    <mergeCell ref="J37:J38"/>
    <mergeCell ref="K37:K38"/>
    <mergeCell ref="L37:L38"/>
    <mergeCell ref="A2:I2"/>
    <mergeCell ref="D37:D38"/>
    <mergeCell ref="E37:E38"/>
    <mergeCell ref="F37:F38"/>
    <mergeCell ref="G37:G38"/>
    <mergeCell ref="H37:H38"/>
    <mergeCell ref="I37:I38"/>
  </mergeCells>
  <printOptions/>
  <pageMargins left="0.24" right="0.24" top="0.35" bottom="0.34" header="0.22" footer="0.18"/>
  <pageSetup horizontalDpi="300" verticalDpi="300" orientation="portrait" paperSize="9" scale="77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FF98F"/>
    <pageSetUpPr fitToPage="1"/>
  </sheetPr>
  <dimension ref="A1:IU57"/>
  <sheetViews>
    <sheetView zoomScale="95" zoomScaleNormal="95"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39" sqref="Z39"/>
    </sheetView>
  </sheetViews>
  <sheetFormatPr defaultColWidth="11.421875" defaultRowHeight="12.75"/>
  <cols>
    <col min="3" max="3" width="5.140625" style="0" customWidth="1"/>
    <col min="4" max="15" width="0" style="0" hidden="1" customWidth="1"/>
    <col min="17" max="17" width="11.57421875" style="0" customWidth="1"/>
    <col min="18" max="20" width="11.57421875" style="240" customWidth="1"/>
    <col min="21" max="21" width="11.57421875" style="290" customWidth="1"/>
    <col min="22" max="24" width="9.140625" style="0" customWidth="1"/>
  </cols>
  <sheetData>
    <row r="1" spans="1:9" ht="16.5" customHeight="1">
      <c r="A1" s="107" t="s">
        <v>82</v>
      </c>
      <c r="B1" s="108"/>
      <c r="C1" s="108"/>
      <c r="D1" s="1"/>
      <c r="E1" s="1"/>
      <c r="F1" s="1"/>
      <c r="G1" s="1"/>
      <c r="H1" s="1"/>
      <c r="I1" s="1"/>
    </row>
    <row r="2" spans="1:9" ht="16.5" customHeight="1">
      <c r="A2" s="372" t="s">
        <v>41</v>
      </c>
      <c r="B2" s="373"/>
      <c r="C2" s="373"/>
      <c r="D2" s="373"/>
      <c r="E2" s="373"/>
      <c r="F2" s="373"/>
      <c r="G2" s="373"/>
      <c r="H2" s="373"/>
      <c r="I2" s="373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25" s="33" customFormat="1" ht="19.5" customHeight="1">
      <c r="A4" s="109" t="s">
        <v>0</v>
      </c>
      <c r="B4" s="110"/>
      <c r="C4" s="111"/>
      <c r="D4" s="112">
        <v>1997</v>
      </c>
      <c r="E4" s="112">
        <v>1998</v>
      </c>
      <c r="F4" s="112">
        <v>1999</v>
      </c>
      <c r="G4" s="112">
        <v>2000</v>
      </c>
      <c r="H4" s="112">
        <v>2001</v>
      </c>
      <c r="I4" s="112">
        <v>2002</v>
      </c>
      <c r="J4" s="112">
        <v>2003</v>
      </c>
      <c r="K4" s="112">
        <v>2004</v>
      </c>
      <c r="L4" s="112">
        <v>2005</v>
      </c>
      <c r="M4" s="112" t="s">
        <v>117</v>
      </c>
      <c r="N4" s="112">
        <v>2007</v>
      </c>
      <c r="O4" s="112">
        <v>2008</v>
      </c>
      <c r="P4" s="112">
        <v>2009</v>
      </c>
      <c r="Q4" s="112">
        <v>2010</v>
      </c>
      <c r="R4" s="112">
        <v>2011</v>
      </c>
      <c r="S4" s="112">
        <v>2012</v>
      </c>
      <c r="T4" s="112">
        <v>2013</v>
      </c>
      <c r="U4" s="112">
        <v>2014</v>
      </c>
      <c r="V4" s="112">
        <v>2015</v>
      </c>
      <c r="W4" s="112">
        <v>2016</v>
      </c>
      <c r="X4" s="112">
        <v>2017</v>
      </c>
      <c r="Y4" s="356">
        <v>2018</v>
      </c>
    </row>
    <row r="5" spans="1:25" s="37" customFormat="1" ht="19.5" customHeight="1">
      <c r="A5" s="34" t="s">
        <v>1</v>
      </c>
      <c r="B5" s="35"/>
      <c r="C5" s="36"/>
      <c r="D5" s="6">
        <v>215</v>
      </c>
      <c r="E5" s="6">
        <v>127</v>
      </c>
      <c r="F5" s="6">
        <v>173</v>
      </c>
      <c r="G5" s="6">
        <v>140</v>
      </c>
      <c r="H5" s="6">
        <v>228</v>
      </c>
      <c r="I5" s="6">
        <v>183</v>
      </c>
      <c r="J5" s="6">
        <v>298</v>
      </c>
      <c r="K5" s="20">
        <v>193</v>
      </c>
      <c r="L5" s="6">
        <v>339</v>
      </c>
      <c r="M5" s="374">
        <v>1277</v>
      </c>
      <c r="N5" s="376">
        <v>1427</v>
      </c>
      <c r="O5" s="20">
        <f>590/100</f>
        <v>5.9</v>
      </c>
      <c r="P5" s="175">
        <v>10</v>
      </c>
      <c r="Q5" s="228"/>
      <c r="R5" s="228"/>
      <c r="S5" s="228"/>
      <c r="T5" s="190">
        <v>1</v>
      </c>
      <c r="U5" s="190">
        <v>12</v>
      </c>
      <c r="V5" s="5">
        <v>24</v>
      </c>
      <c r="W5" s="5"/>
      <c r="X5" s="5"/>
      <c r="Y5" s="5">
        <v>15</v>
      </c>
    </row>
    <row r="6" spans="1:25" s="33" customFormat="1" ht="19.5" customHeight="1">
      <c r="A6" s="38" t="s">
        <v>2</v>
      </c>
      <c r="B6" s="39"/>
      <c r="C6" s="40"/>
      <c r="D6" s="6">
        <v>1089</v>
      </c>
      <c r="E6" s="6">
        <v>1228</v>
      </c>
      <c r="F6" s="6">
        <v>1189</v>
      </c>
      <c r="G6" s="6">
        <v>1256</v>
      </c>
      <c r="H6" s="6">
        <v>919</v>
      </c>
      <c r="I6" s="6">
        <v>878</v>
      </c>
      <c r="J6" s="6">
        <v>540</v>
      </c>
      <c r="K6" s="47">
        <v>796</v>
      </c>
      <c r="L6" s="47">
        <v>819</v>
      </c>
      <c r="M6" s="375"/>
      <c r="N6" s="377"/>
      <c r="O6" s="65">
        <f>152+1474.22</f>
        <v>1626.22</v>
      </c>
      <c r="P6" s="65">
        <f>109+1196.3</f>
        <v>1305.3</v>
      </c>
      <c r="Q6" s="65"/>
      <c r="R6" s="228"/>
      <c r="S6" s="228"/>
      <c r="T6" s="190">
        <v>1142.51</v>
      </c>
      <c r="U6" s="6">
        <v>1194</v>
      </c>
      <c r="V6" s="6">
        <v>1207</v>
      </c>
      <c r="W6" s="5"/>
      <c r="X6" s="5"/>
      <c r="Y6" s="5">
        <v>1205</v>
      </c>
    </row>
    <row r="7" spans="1:25" s="33" customFormat="1" ht="19.5" customHeight="1">
      <c r="A7" s="38" t="s">
        <v>187</v>
      </c>
      <c r="B7" s="39"/>
      <c r="C7" s="40"/>
      <c r="D7" s="6">
        <f>+D5+D6</f>
        <v>1304</v>
      </c>
      <c r="E7" s="6">
        <f aca="true" t="shared" si="0" ref="E7:P7">+E5+E6</f>
        <v>1355</v>
      </c>
      <c r="F7" s="6">
        <f t="shared" si="0"/>
        <v>1362</v>
      </c>
      <c r="G7" s="6">
        <f t="shared" si="0"/>
        <v>1396</v>
      </c>
      <c r="H7" s="6">
        <f t="shared" si="0"/>
        <v>1147</v>
      </c>
      <c r="I7" s="6">
        <f t="shared" si="0"/>
        <v>1061</v>
      </c>
      <c r="J7" s="6">
        <f t="shared" si="0"/>
        <v>838</v>
      </c>
      <c r="K7" s="6">
        <f t="shared" si="0"/>
        <v>989</v>
      </c>
      <c r="L7" s="6">
        <v>1270</v>
      </c>
      <c r="M7" s="6">
        <f t="shared" si="0"/>
        <v>1277</v>
      </c>
      <c r="N7" s="6">
        <f t="shared" si="0"/>
        <v>1427</v>
      </c>
      <c r="O7" s="6">
        <f t="shared" si="0"/>
        <v>1632.1200000000001</v>
      </c>
      <c r="P7" s="6">
        <f t="shared" si="0"/>
        <v>1315.3</v>
      </c>
      <c r="Q7" s="6">
        <v>2012</v>
      </c>
      <c r="R7" s="292">
        <v>1930</v>
      </c>
      <c r="S7" s="190">
        <v>1005</v>
      </c>
      <c r="T7" s="190">
        <v>1144</v>
      </c>
      <c r="U7" s="6">
        <f>U5+U6</f>
        <v>1206</v>
      </c>
      <c r="V7" s="6">
        <v>1231</v>
      </c>
      <c r="W7" s="6">
        <v>1275</v>
      </c>
      <c r="X7" s="6">
        <v>1434</v>
      </c>
      <c r="Y7" s="6">
        <v>1220</v>
      </c>
    </row>
    <row r="8" spans="1:25" s="33" customFormat="1" ht="19.5" customHeight="1">
      <c r="A8" s="38" t="s">
        <v>3</v>
      </c>
      <c r="B8" s="39"/>
      <c r="C8" s="40"/>
      <c r="D8" s="6">
        <v>164</v>
      </c>
      <c r="E8" s="6">
        <v>140</v>
      </c>
      <c r="F8" s="6">
        <v>106</v>
      </c>
      <c r="G8" s="6">
        <v>42</v>
      </c>
      <c r="H8" s="6">
        <v>37</v>
      </c>
      <c r="I8" s="6">
        <v>27</v>
      </c>
      <c r="J8" s="6">
        <v>40</v>
      </c>
      <c r="K8" s="6">
        <v>72</v>
      </c>
      <c r="L8" s="6">
        <v>58.39</v>
      </c>
      <c r="M8" s="6">
        <v>44</v>
      </c>
      <c r="N8" s="6">
        <v>56</v>
      </c>
      <c r="O8" s="65">
        <v>34</v>
      </c>
      <c r="P8" s="65">
        <v>8</v>
      </c>
      <c r="Q8" s="65">
        <v>16</v>
      </c>
      <c r="R8" s="228">
        <v>15</v>
      </c>
      <c r="S8" s="228">
        <v>17</v>
      </c>
      <c r="T8" s="190">
        <v>18</v>
      </c>
      <c r="U8" s="6">
        <v>19</v>
      </c>
      <c r="V8" s="5"/>
      <c r="W8" s="5"/>
      <c r="X8" s="5"/>
      <c r="Y8" s="5">
        <v>44</v>
      </c>
    </row>
    <row r="9" spans="1:25" s="33" customFormat="1" ht="19.5" customHeight="1">
      <c r="A9" s="38" t="s">
        <v>4</v>
      </c>
      <c r="B9" s="39"/>
      <c r="C9" s="40"/>
      <c r="D9" s="6">
        <v>256</v>
      </c>
      <c r="E9" s="6">
        <v>283</v>
      </c>
      <c r="F9" s="6">
        <v>225</v>
      </c>
      <c r="G9" s="6">
        <v>211</v>
      </c>
      <c r="H9" s="6">
        <v>230</v>
      </c>
      <c r="I9" s="6">
        <v>260</v>
      </c>
      <c r="J9" s="6">
        <v>287</v>
      </c>
      <c r="K9" s="6">
        <v>298</v>
      </c>
      <c r="L9" s="6">
        <v>235</v>
      </c>
      <c r="M9" s="6">
        <v>222</v>
      </c>
      <c r="N9" s="6">
        <v>222</v>
      </c>
      <c r="O9" s="65">
        <v>245</v>
      </c>
      <c r="P9" s="65">
        <v>203</v>
      </c>
      <c r="Q9" s="65">
        <v>216</v>
      </c>
      <c r="R9" s="228">
        <v>180</v>
      </c>
      <c r="S9" s="228">
        <v>222.5</v>
      </c>
      <c r="T9" s="190">
        <v>211.15</v>
      </c>
      <c r="U9" s="6">
        <v>153</v>
      </c>
      <c r="V9" s="5">
        <v>142</v>
      </c>
      <c r="W9" s="5">
        <v>170</v>
      </c>
      <c r="X9" s="5">
        <v>227</v>
      </c>
      <c r="Y9" s="5">
        <v>176</v>
      </c>
    </row>
    <row r="10" spans="1:25" s="33" customFormat="1" ht="19.5" customHeight="1">
      <c r="A10" s="38" t="s">
        <v>99</v>
      </c>
      <c r="B10" s="39"/>
      <c r="C10" s="40"/>
      <c r="D10" s="6"/>
      <c r="E10" s="6"/>
      <c r="F10" s="6"/>
      <c r="G10" s="6">
        <v>137</v>
      </c>
      <c r="H10" s="6">
        <v>188</v>
      </c>
      <c r="I10" s="6">
        <v>188</v>
      </c>
      <c r="J10" s="6">
        <v>192</v>
      </c>
      <c r="K10" s="6">
        <v>100</v>
      </c>
      <c r="L10" s="6">
        <v>59</v>
      </c>
      <c r="M10" s="6">
        <f>34+82.55</f>
        <v>116.55</v>
      </c>
      <c r="N10" s="6">
        <v>116</v>
      </c>
      <c r="O10" s="65">
        <f>(2508/100)+176.07</f>
        <v>201.14999999999998</v>
      </c>
      <c r="P10" s="65">
        <v>121</v>
      </c>
      <c r="Q10" s="65">
        <v>84</v>
      </c>
      <c r="R10" s="228">
        <v>61</v>
      </c>
      <c r="S10" s="228">
        <v>41</v>
      </c>
      <c r="T10" s="190">
        <v>45.14</v>
      </c>
      <c r="U10" s="6">
        <v>41</v>
      </c>
      <c r="V10" s="5">
        <v>56</v>
      </c>
      <c r="W10" s="5">
        <v>27</v>
      </c>
      <c r="X10" s="5">
        <v>19</v>
      </c>
      <c r="Y10" s="5"/>
    </row>
    <row r="11" spans="1:25" s="33" customFormat="1" ht="19.5" customHeight="1">
      <c r="A11" s="38" t="s">
        <v>5</v>
      </c>
      <c r="B11" s="39"/>
      <c r="C11" s="40"/>
      <c r="D11" s="6"/>
      <c r="E11" s="6"/>
      <c r="F11" s="6"/>
      <c r="G11" s="6">
        <v>20</v>
      </c>
      <c r="H11" s="6">
        <v>25</v>
      </c>
      <c r="I11" s="6">
        <v>32</v>
      </c>
      <c r="J11" s="6">
        <v>73</v>
      </c>
      <c r="K11" s="6"/>
      <c r="L11" s="6">
        <v>58</v>
      </c>
      <c r="M11" s="374">
        <v>5499</v>
      </c>
      <c r="N11" s="6"/>
      <c r="O11" s="65"/>
      <c r="P11" s="65"/>
      <c r="Q11" s="65"/>
      <c r="R11" s="228">
        <v>16</v>
      </c>
      <c r="S11" s="228"/>
      <c r="T11" s="190"/>
      <c r="U11" s="6">
        <v>5</v>
      </c>
      <c r="V11" s="5">
        <v>30</v>
      </c>
      <c r="W11" s="5">
        <v>7</v>
      </c>
      <c r="X11" s="5"/>
      <c r="Y11" s="5"/>
    </row>
    <row r="12" spans="1:25" s="33" customFormat="1" ht="19.5" customHeight="1">
      <c r="A12" s="38" t="s">
        <v>6</v>
      </c>
      <c r="B12" s="39"/>
      <c r="C12" s="40"/>
      <c r="D12" s="6">
        <v>4353</v>
      </c>
      <c r="E12" s="6">
        <v>4631</v>
      </c>
      <c r="F12" s="6">
        <v>4720</v>
      </c>
      <c r="G12" s="6">
        <v>4661</v>
      </c>
      <c r="H12" s="6">
        <v>4774</v>
      </c>
      <c r="I12" s="6">
        <v>4562</v>
      </c>
      <c r="J12" s="6">
        <v>4430</v>
      </c>
      <c r="K12" s="6">
        <v>5124</v>
      </c>
      <c r="L12" s="6">
        <v>5218</v>
      </c>
      <c r="M12" s="375"/>
      <c r="N12" s="6">
        <v>5548</v>
      </c>
      <c r="O12" s="65">
        <v>5364</v>
      </c>
      <c r="P12" s="65">
        <v>5327</v>
      </c>
      <c r="Q12" s="65">
        <v>4473</v>
      </c>
      <c r="R12" s="228">
        <v>4839</v>
      </c>
      <c r="S12" s="228">
        <v>4734</v>
      </c>
      <c r="T12" s="190">
        <v>4193.7</v>
      </c>
      <c r="U12" s="6">
        <v>4629</v>
      </c>
      <c r="V12" s="6">
        <v>4772</v>
      </c>
      <c r="W12" s="6">
        <v>4970</v>
      </c>
      <c r="X12" s="6">
        <v>5151</v>
      </c>
      <c r="Y12" s="6">
        <v>5150</v>
      </c>
    </row>
    <row r="13" spans="1:25" s="33" customFormat="1" ht="19.5" customHeight="1">
      <c r="A13" s="38" t="s">
        <v>139</v>
      </c>
      <c r="B13" s="39"/>
      <c r="C13" s="40"/>
      <c r="D13" s="6"/>
      <c r="E13" s="6"/>
      <c r="F13" s="6"/>
      <c r="G13" s="6"/>
      <c r="H13" s="6"/>
      <c r="I13" s="6"/>
      <c r="J13" s="6"/>
      <c r="K13" s="6"/>
      <c r="L13" s="6">
        <v>339</v>
      </c>
      <c r="M13" s="101">
        <v>368.53</v>
      </c>
      <c r="N13" s="6">
        <v>393</v>
      </c>
      <c r="O13" s="65">
        <v>480</v>
      </c>
      <c r="P13" s="6">
        <v>344</v>
      </c>
      <c r="Q13" s="6">
        <v>251</v>
      </c>
      <c r="R13" s="292">
        <v>306</v>
      </c>
      <c r="S13" s="190">
        <v>372</v>
      </c>
      <c r="T13" s="190">
        <v>1150</v>
      </c>
      <c r="U13" s="6">
        <v>436</v>
      </c>
      <c r="V13" s="5">
        <v>612</v>
      </c>
      <c r="W13" s="5">
        <v>253</v>
      </c>
      <c r="X13" s="5">
        <v>455</v>
      </c>
      <c r="Y13" s="5">
        <v>500</v>
      </c>
    </row>
    <row r="14" spans="1:25" s="33" customFormat="1" ht="19.5" customHeight="1">
      <c r="A14" s="38" t="s">
        <v>7</v>
      </c>
      <c r="B14" s="39"/>
      <c r="C14" s="4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0"/>
      <c r="S14" s="190"/>
      <c r="T14" s="190"/>
      <c r="U14" s="6"/>
      <c r="V14" s="5"/>
      <c r="W14" s="5"/>
      <c r="X14" s="5"/>
      <c r="Y14" s="5"/>
    </row>
    <row r="15" spans="1:25" s="33" customFormat="1" ht="19.5" customHeight="1">
      <c r="A15" s="38" t="s">
        <v>8</v>
      </c>
      <c r="B15" s="39"/>
      <c r="C15" s="4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90"/>
      <c r="S15" s="190"/>
      <c r="T15" s="190"/>
      <c r="U15" s="6"/>
      <c r="V15" s="5"/>
      <c r="W15" s="5"/>
      <c r="X15" s="5"/>
      <c r="Y15" s="5"/>
    </row>
    <row r="16" spans="1:25" s="44" customFormat="1" ht="19.5" customHeight="1">
      <c r="A16" s="114" t="s">
        <v>9</v>
      </c>
      <c r="B16" s="115"/>
      <c r="C16" s="116"/>
      <c r="D16" s="117">
        <f>SUM(D5:D15)-D7</f>
        <v>6077</v>
      </c>
      <c r="E16" s="117">
        <f aca="true" t="shared" si="1" ref="E16:K16">SUM(E5:E15)-E7</f>
        <v>6409</v>
      </c>
      <c r="F16" s="117">
        <f t="shared" si="1"/>
        <v>6413</v>
      </c>
      <c r="G16" s="117">
        <f t="shared" si="1"/>
        <v>6467</v>
      </c>
      <c r="H16" s="117">
        <f t="shared" si="1"/>
        <v>6401</v>
      </c>
      <c r="I16" s="117">
        <f t="shared" si="1"/>
        <v>6130</v>
      </c>
      <c r="J16" s="117">
        <f t="shared" si="1"/>
        <v>5860</v>
      </c>
      <c r="K16" s="117">
        <f t="shared" si="1"/>
        <v>6583</v>
      </c>
      <c r="L16" s="117">
        <f>+L13+L12+L11+L10+L9+L8+L7</f>
        <v>7237.39</v>
      </c>
      <c r="M16" s="117">
        <f>+M13+M11+M10+M9+M8+M7</f>
        <v>7527.08</v>
      </c>
      <c r="N16" s="117">
        <f>+N12+N10+N9+N8+N7+N13</f>
        <v>7762</v>
      </c>
      <c r="O16" s="117">
        <f>+O12+O10+O9+O8+O7+O13</f>
        <v>7956.2699999999995</v>
      </c>
      <c r="P16" s="117">
        <f>+P12+P10+P9+P8+P7+P13</f>
        <v>7318.3</v>
      </c>
      <c r="Q16" s="125">
        <f>+Q12+Q10+Q9+Q8+Q7+Q13</f>
        <v>7052</v>
      </c>
      <c r="R16" s="125">
        <f>SUM(R6:R15)</f>
        <v>7347</v>
      </c>
      <c r="S16" s="125">
        <f>SUM(S6:S15)</f>
        <v>6391.5</v>
      </c>
      <c r="T16" s="125">
        <f aca="true" t="shared" si="2" ref="T16:Y16">SUM(T5:T15)</f>
        <v>7905.5</v>
      </c>
      <c r="U16" s="311">
        <f t="shared" si="2"/>
        <v>7695</v>
      </c>
      <c r="V16" s="311">
        <f t="shared" si="2"/>
        <v>8074</v>
      </c>
      <c r="W16" s="311">
        <f t="shared" si="2"/>
        <v>6702</v>
      </c>
      <c r="X16" s="311">
        <f t="shared" si="2"/>
        <v>7286</v>
      </c>
      <c r="Y16" s="360">
        <f t="shared" si="2"/>
        <v>8310</v>
      </c>
    </row>
    <row r="17" spans="1:25" s="33" customFormat="1" ht="19.5" customHeight="1">
      <c r="A17" s="38" t="s">
        <v>10</v>
      </c>
      <c r="B17" s="39"/>
      <c r="C17" s="40"/>
      <c r="D17" s="6"/>
      <c r="E17" s="6">
        <v>20</v>
      </c>
      <c r="F17" s="6">
        <v>15</v>
      </c>
      <c r="G17" s="6">
        <v>5</v>
      </c>
      <c r="H17" s="6"/>
      <c r="I17" s="6"/>
      <c r="J17" s="6"/>
      <c r="K17" s="6">
        <v>4</v>
      </c>
      <c r="L17" s="6"/>
      <c r="M17" s="6"/>
      <c r="N17" s="6"/>
      <c r="O17" s="6"/>
      <c r="P17" s="6"/>
      <c r="Q17" s="6"/>
      <c r="R17" s="190"/>
      <c r="S17" s="190"/>
      <c r="T17" s="190"/>
      <c r="U17" s="6"/>
      <c r="V17" s="5"/>
      <c r="W17" s="5"/>
      <c r="X17" s="5"/>
      <c r="Y17" s="5"/>
    </row>
    <row r="18" spans="1:25" s="37" customFormat="1" ht="19.5" customHeight="1">
      <c r="A18" s="45" t="s">
        <v>11</v>
      </c>
      <c r="B18" s="46"/>
      <c r="C18" s="47"/>
      <c r="D18" s="6"/>
      <c r="E18" s="6"/>
      <c r="F18" s="6"/>
      <c r="G18" s="6"/>
      <c r="H18" s="6"/>
      <c r="I18" s="6"/>
      <c r="J18" s="6"/>
      <c r="K18" s="20"/>
      <c r="L18" s="20">
        <v>3</v>
      </c>
      <c r="M18" s="20">
        <v>22</v>
      </c>
      <c r="N18" s="20">
        <v>25</v>
      </c>
      <c r="O18" s="175">
        <v>13.26</v>
      </c>
      <c r="P18" s="20">
        <f>957/100</f>
        <v>9.57</v>
      </c>
      <c r="Q18" s="190"/>
      <c r="R18" s="190"/>
      <c r="S18" s="190">
        <v>2</v>
      </c>
      <c r="T18" s="190">
        <v>2</v>
      </c>
      <c r="U18" s="190">
        <v>8</v>
      </c>
      <c r="V18" s="5">
        <v>9</v>
      </c>
      <c r="W18" s="5"/>
      <c r="X18" s="5"/>
      <c r="Y18" s="5"/>
    </row>
    <row r="19" spans="1:25" s="33" customFormat="1" ht="19.5" customHeight="1">
      <c r="A19" s="38" t="s">
        <v>197</v>
      </c>
      <c r="B19" s="39"/>
      <c r="C19" s="40"/>
      <c r="D19" s="6"/>
      <c r="E19" s="6">
        <v>47</v>
      </c>
      <c r="F19" s="6">
        <v>72</v>
      </c>
      <c r="G19" s="6">
        <v>127</v>
      </c>
      <c r="H19" s="6">
        <v>274</v>
      </c>
      <c r="I19" s="6">
        <v>371</v>
      </c>
      <c r="J19" s="6">
        <v>388</v>
      </c>
      <c r="K19" s="6">
        <v>452</v>
      </c>
      <c r="L19" s="6">
        <v>437</v>
      </c>
      <c r="M19" s="6">
        <v>443</v>
      </c>
      <c r="N19" s="6">
        <v>372</v>
      </c>
      <c r="O19" s="65">
        <f>71+178.39</f>
        <v>249.39</v>
      </c>
      <c r="P19" s="65">
        <v>181</v>
      </c>
      <c r="Q19" s="65">
        <v>265</v>
      </c>
      <c r="R19" s="228">
        <v>202</v>
      </c>
      <c r="S19" s="228">
        <v>185</v>
      </c>
      <c r="T19" s="190">
        <v>104.82</v>
      </c>
      <c r="U19" s="6">
        <v>72</v>
      </c>
      <c r="V19" s="5">
        <v>75</v>
      </c>
      <c r="W19" s="5">
        <v>77</v>
      </c>
      <c r="X19" s="5">
        <v>82</v>
      </c>
      <c r="Y19" s="5">
        <v>79</v>
      </c>
    </row>
    <row r="20" spans="1:25" s="33" customFormat="1" ht="19.5" customHeight="1">
      <c r="A20" s="38" t="s">
        <v>13</v>
      </c>
      <c r="B20" s="39"/>
      <c r="C20" s="40"/>
      <c r="D20" s="6">
        <v>87</v>
      </c>
      <c r="E20" s="6">
        <v>195</v>
      </c>
      <c r="F20" s="6">
        <v>326</v>
      </c>
      <c r="G20" s="6">
        <v>416</v>
      </c>
      <c r="H20" s="6">
        <v>536</v>
      </c>
      <c r="I20" s="6">
        <v>210</v>
      </c>
      <c r="J20" s="6">
        <v>171</v>
      </c>
      <c r="K20" s="6">
        <v>177</v>
      </c>
      <c r="L20" s="6">
        <v>219</v>
      </c>
      <c r="M20" s="6">
        <v>203</v>
      </c>
      <c r="N20" s="6">
        <v>127</v>
      </c>
      <c r="O20" s="65">
        <v>115</v>
      </c>
      <c r="P20" s="65">
        <f>13473/100</f>
        <v>134.73</v>
      </c>
      <c r="Q20" s="65">
        <v>29</v>
      </c>
      <c r="R20" s="228">
        <v>34</v>
      </c>
      <c r="S20" s="228">
        <v>24</v>
      </c>
      <c r="T20" s="190">
        <v>15</v>
      </c>
      <c r="U20" s="6">
        <v>7</v>
      </c>
      <c r="V20" s="5">
        <v>11</v>
      </c>
      <c r="W20" s="5">
        <v>37</v>
      </c>
      <c r="X20" s="5">
        <v>32</v>
      </c>
      <c r="Y20" s="5">
        <v>25</v>
      </c>
    </row>
    <row r="21" spans="1:25" s="33" customFormat="1" ht="19.5" customHeight="1">
      <c r="A21" s="38" t="s">
        <v>14</v>
      </c>
      <c r="B21" s="39"/>
      <c r="C21" s="40"/>
      <c r="D21" s="6"/>
      <c r="E21" s="6">
        <v>19</v>
      </c>
      <c r="F21" s="6">
        <v>117</v>
      </c>
      <c r="G21" s="6">
        <v>131</v>
      </c>
      <c r="H21" s="6">
        <v>67</v>
      </c>
      <c r="I21" s="6">
        <v>50</v>
      </c>
      <c r="J21" s="6">
        <v>36</v>
      </c>
      <c r="K21" s="6">
        <v>39</v>
      </c>
      <c r="L21" s="6">
        <v>44</v>
      </c>
      <c r="M21" s="6">
        <v>58</v>
      </c>
      <c r="N21" s="6">
        <v>48</v>
      </c>
      <c r="O21" s="65">
        <v>25</v>
      </c>
      <c r="P21" s="65">
        <v>35</v>
      </c>
      <c r="Q21" s="65"/>
      <c r="R21" s="228">
        <v>11</v>
      </c>
      <c r="S21" s="228">
        <v>34</v>
      </c>
      <c r="T21" s="190">
        <v>15</v>
      </c>
      <c r="U21" s="6"/>
      <c r="V21" s="5">
        <v>17</v>
      </c>
      <c r="W21" s="5">
        <v>17</v>
      </c>
      <c r="X21" s="5">
        <v>11</v>
      </c>
      <c r="Y21" s="5"/>
    </row>
    <row r="22" spans="1:25" s="33" customFormat="1" ht="19.5" customHeight="1">
      <c r="A22" s="191" t="s">
        <v>198</v>
      </c>
      <c r="B22" s="39"/>
      <c r="C22" s="40"/>
      <c r="D22" s="6"/>
      <c r="E22" s="6"/>
      <c r="F22" s="6"/>
      <c r="G22" s="6">
        <v>11</v>
      </c>
      <c r="H22" s="6">
        <v>3</v>
      </c>
      <c r="I22" s="6">
        <v>4</v>
      </c>
      <c r="J22" s="6"/>
      <c r="K22" s="6">
        <v>9</v>
      </c>
      <c r="L22" s="6">
        <v>8</v>
      </c>
      <c r="M22" s="6">
        <v>14</v>
      </c>
      <c r="N22" s="6">
        <v>9</v>
      </c>
      <c r="O22" s="65"/>
      <c r="P22" s="65"/>
      <c r="Q22" s="65"/>
      <c r="R22" s="228"/>
      <c r="S22" s="228"/>
      <c r="T22" s="190"/>
      <c r="U22" s="6"/>
      <c r="V22" s="5"/>
      <c r="W22" s="5"/>
      <c r="X22" s="5"/>
      <c r="Y22" s="5"/>
    </row>
    <row r="23" spans="1:25" s="33" customFormat="1" ht="19.5" customHeight="1">
      <c r="A23" s="193" t="s">
        <v>199</v>
      </c>
      <c r="B23" s="39"/>
      <c r="C23" s="40"/>
      <c r="D23" s="6"/>
      <c r="E23" s="6"/>
      <c r="F23" s="6" t="s">
        <v>39</v>
      </c>
      <c r="G23" s="6">
        <v>13</v>
      </c>
      <c r="H23" s="6">
        <v>21</v>
      </c>
      <c r="I23" s="6">
        <v>72</v>
      </c>
      <c r="J23" s="6">
        <v>103</v>
      </c>
      <c r="K23" s="6">
        <v>73</v>
      </c>
      <c r="L23" s="6">
        <v>29</v>
      </c>
      <c r="M23" s="6">
        <v>33</v>
      </c>
      <c r="N23" s="6">
        <v>58</v>
      </c>
      <c r="O23" s="65">
        <f>(4190+42)/100</f>
        <v>42.32</v>
      </c>
      <c r="P23" s="65">
        <v>33</v>
      </c>
      <c r="Q23" s="65">
        <v>6</v>
      </c>
      <c r="R23" s="228">
        <v>11</v>
      </c>
      <c r="S23" s="228">
        <v>19</v>
      </c>
      <c r="T23" s="190">
        <v>8</v>
      </c>
      <c r="U23" s="6">
        <v>14</v>
      </c>
      <c r="V23" s="5">
        <v>29</v>
      </c>
      <c r="W23" s="5">
        <v>27</v>
      </c>
      <c r="X23" s="5">
        <v>21</v>
      </c>
      <c r="Y23" s="5">
        <v>20</v>
      </c>
    </row>
    <row r="24" spans="1:25" s="33" customFormat="1" ht="19.5" customHeight="1">
      <c r="A24" s="38" t="s">
        <v>17</v>
      </c>
      <c r="B24" s="39"/>
      <c r="C24" s="40"/>
      <c r="D24" s="6">
        <v>1160</v>
      </c>
      <c r="E24" s="6">
        <v>1475</v>
      </c>
      <c r="F24" s="6">
        <v>1333</v>
      </c>
      <c r="G24" s="6">
        <v>898</v>
      </c>
      <c r="H24" s="6">
        <v>589</v>
      </c>
      <c r="I24" s="6">
        <v>352</v>
      </c>
      <c r="J24" s="6">
        <v>653</v>
      </c>
      <c r="K24" s="6">
        <v>1026</v>
      </c>
      <c r="L24" s="20">
        <v>1095</v>
      </c>
      <c r="M24" s="20">
        <v>811</v>
      </c>
      <c r="N24" s="6">
        <v>694</v>
      </c>
      <c r="O24" s="65">
        <v>573</v>
      </c>
      <c r="P24" s="65">
        <v>663</v>
      </c>
      <c r="Q24" s="65">
        <v>555</v>
      </c>
      <c r="R24" s="228">
        <v>472</v>
      </c>
      <c r="S24" s="228">
        <v>549.7</v>
      </c>
      <c r="T24" s="190">
        <v>453.11</v>
      </c>
      <c r="U24" s="6">
        <v>378</v>
      </c>
      <c r="V24" s="5">
        <v>404</v>
      </c>
      <c r="W24" s="5">
        <v>358</v>
      </c>
      <c r="X24" s="5">
        <v>358</v>
      </c>
      <c r="Y24" s="5">
        <v>410</v>
      </c>
    </row>
    <row r="25" spans="1:25" s="33" customFormat="1" ht="19.5" customHeight="1">
      <c r="A25" s="38" t="s">
        <v>18</v>
      </c>
      <c r="B25" s="39"/>
      <c r="C25" s="40"/>
      <c r="D25" s="6">
        <v>2074</v>
      </c>
      <c r="E25" s="6">
        <v>2843</v>
      </c>
      <c r="F25" s="6">
        <v>2389</v>
      </c>
      <c r="G25" s="6">
        <v>1915</v>
      </c>
      <c r="H25" s="6">
        <v>1547</v>
      </c>
      <c r="I25" s="6">
        <v>1433</v>
      </c>
      <c r="J25" s="6">
        <v>1974</v>
      </c>
      <c r="K25" s="6">
        <v>2091</v>
      </c>
      <c r="L25" s="6">
        <v>2166</v>
      </c>
      <c r="M25" s="6">
        <v>1907</v>
      </c>
      <c r="N25" s="6">
        <v>1808</v>
      </c>
      <c r="O25" s="65">
        <v>1468</v>
      </c>
      <c r="P25" s="65">
        <v>2428</v>
      </c>
      <c r="Q25" s="65">
        <v>1755</v>
      </c>
      <c r="R25" s="228">
        <v>1854</v>
      </c>
      <c r="S25" s="228">
        <v>2277</v>
      </c>
      <c r="T25" s="190">
        <v>1952.61</v>
      </c>
      <c r="U25" s="6">
        <v>1853</v>
      </c>
      <c r="V25" s="6">
        <v>1856</v>
      </c>
      <c r="W25" s="6">
        <v>1796</v>
      </c>
      <c r="X25" s="6">
        <v>2064</v>
      </c>
      <c r="Y25" s="6">
        <v>2445</v>
      </c>
    </row>
    <row r="26" spans="1:25" s="33" customFormat="1" ht="19.5" customHeight="1">
      <c r="A26" s="38" t="s">
        <v>19</v>
      </c>
      <c r="B26" s="39"/>
      <c r="C26" s="40"/>
      <c r="D26" s="6">
        <v>106</v>
      </c>
      <c r="E26" s="6">
        <v>177</v>
      </c>
      <c r="F26" s="6"/>
      <c r="G26" s="6">
        <v>95</v>
      </c>
      <c r="H26" s="6">
        <v>37</v>
      </c>
      <c r="I26" s="6">
        <v>29</v>
      </c>
      <c r="J26" s="6">
        <v>19</v>
      </c>
      <c r="K26" s="6">
        <v>29</v>
      </c>
      <c r="L26" s="6">
        <v>41</v>
      </c>
      <c r="M26" s="6">
        <v>37</v>
      </c>
      <c r="N26" s="6">
        <v>40</v>
      </c>
      <c r="O26" s="6">
        <v>19</v>
      </c>
      <c r="P26" s="6">
        <v>38</v>
      </c>
      <c r="Q26" s="6">
        <v>48</v>
      </c>
      <c r="R26" s="190">
        <v>59</v>
      </c>
      <c r="S26" s="190">
        <v>64</v>
      </c>
      <c r="T26" s="190">
        <v>61.65</v>
      </c>
      <c r="U26" s="6">
        <v>45</v>
      </c>
      <c r="V26" s="5">
        <v>43</v>
      </c>
      <c r="W26" s="5"/>
      <c r="X26" s="5">
        <v>170</v>
      </c>
      <c r="Y26" s="5">
        <v>130</v>
      </c>
    </row>
    <row r="27" spans="1:25" s="44" customFormat="1" ht="19.5" customHeight="1">
      <c r="A27" s="114" t="s">
        <v>20</v>
      </c>
      <c r="B27" s="115"/>
      <c r="C27" s="116"/>
      <c r="D27" s="117">
        <f>SUM(D17:D26)</f>
        <v>3427</v>
      </c>
      <c r="E27" s="117">
        <f aca="true" t="shared" si="3" ref="E27:P27">SUM(E17:E26)</f>
        <v>4776</v>
      </c>
      <c r="F27" s="117">
        <f t="shared" si="3"/>
        <v>4252</v>
      </c>
      <c r="G27" s="117">
        <f t="shared" si="3"/>
        <v>3611</v>
      </c>
      <c r="H27" s="117">
        <f t="shared" si="3"/>
        <v>3074</v>
      </c>
      <c r="I27" s="117">
        <f t="shared" si="3"/>
        <v>2521</v>
      </c>
      <c r="J27" s="117">
        <f t="shared" si="3"/>
        <v>3344</v>
      </c>
      <c r="K27" s="117">
        <f t="shared" si="3"/>
        <v>3900</v>
      </c>
      <c r="L27" s="117">
        <f t="shared" si="3"/>
        <v>4042</v>
      </c>
      <c r="M27" s="117">
        <f t="shared" si="3"/>
        <v>3528</v>
      </c>
      <c r="N27" s="117">
        <f t="shared" si="3"/>
        <v>3181</v>
      </c>
      <c r="O27" s="117">
        <f t="shared" si="3"/>
        <v>2504.9700000000003</v>
      </c>
      <c r="P27" s="117">
        <f t="shared" si="3"/>
        <v>3522.3</v>
      </c>
      <c r="Q27" s="125">
        <f aca="true" t="shared" si="4" ref="Q27:Y27">SUM(Q17:Q26)</f>
        <v>2658</v>
      </c>
      <c r="R27" s="125">
        <f t="shared" si="4"/>
        <v>2643</v>
      </c>
      <c r="S27" s="125">
        <f t="shared" si="4"/>
        <v>3154.7</v>
      </c>
      <c r="T27" s="125">
        <f t="shared" si="4"/>
        <v>2612.19</v>
      </c>
      <c r="U27" s="310">
        <f t="shared" si="4"/>
        <v>2377</v>
      </c>
      <c r="V27" s="310">
        <f t="shared" si="4"/>
        <v>2444</v>
      </c>
      <c r="W27" s="310">
        <f t="shared" si="4"/>
        <v>2312</v>
      </c>
      <c r="X27" s="310">
        <f t="shared" si="4"/>
        <v>2738</v>
      </c>
      <c r="Y27" s="361">
        <f t="shared" si="4"/>
        <v>3109</v>
      </c>
    </row>
    <row r="28" spans="1:25" s="33" customFormat="1" ht="19.5" customHeight="1">
      <c r="A28" s="38" t="s">
        <v>21</v>
      </c>
      <c r="B28" s="39"/>
      <c r="C28" s="40"/>
      <c r="D28" s="6"/>
      <c r="E28" s="6"/>
      <c r="F28" s="6"/>
      <c r="G28" s="6">
        <v>57</v>
      </c>
      <c r="H28" s="6">
        <v>8</v>
      </c>
      <c r="I28" s="6">
        <v>5</v>
      </c>
      <c r="J28" s="6">
        <v>7</v>
      </c>
      <c r="K28" s="6">
        <v>14</v>
      </c>
      <c r="L28" s="6">
        <v>30</v>
      </c>
      <c r="M28" s="6">
        <v>21</v>
      </c>
      <c r="N28" s="6">
        <v>22</v>
      </c>
      <c r="O28" s="65">
        <v>17</v>
      </c>
      <c r="P28" s="6">
        <f>288/100</f>
        <v>2.88</v>
      </c>
      <c r="Q28" s="6">
        <v>5</v>
      </c>
      <c r="R28" s="190">
        <v>7</v>
      </c>
      <c r="S28" s="190">
        <v>11</v>
      </c>
      <c r="T28" s="190">
        <v>18</v>
      </c>
      <c r="U28" s="6">
        <v>12</v>
      </c>
      <c r="V28" s="5">
        <v>3</v>
      </c>
      <c r="W28" s="5"/>
      <c r="X28" s="5"/>
      <c r="Y28" s="5"/>
    </row>
    <row r="29" spans="1:25" s="37" customFormat="1" ht="19.5" customHeight="1">
      <c r="A29" s="45" t="s">
        <v>22</v>
      </c>
      <c r="B29" s="46"/>
      <c r="C29" s="4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0"/>
      <c r="R29" s="190"/>
      <c r="S29" s="190"/>
      <c r="T29" s="190"/>
      <c r="U29" s="190"/>
      <c r="V29" s="5"/>
      <c r="W29" s="5"/>
      <c r="X29" s="5"/>
      <c r="Y29" s="5"/>
    </row>
    <row r="30" spans="1:25" s="33" customFormat="1" ht="19.5" customHeight="1">
      <c r="A30" s="38" t="s">
        <v>23</v>
      </c>
      <c r="B30" s="39"/>
      <c r="C30" s="4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90"/>
      <c r="S30" s="190"/>
      <c r="T30" s="190"/>
      <c r="U30" s="6"/>
      <c r="V30" s="5"/>
      <c r="W30" s="5"/>
      <c r="X30" s="5"/>
      <c r="Y30" s="5"/>
    </row>
    <row r="31" spans="1:25" s="33" customFormat="1" ht="19.5" customHeight="1">
      <c r="A31" s="48" t="s">
        <v>24</v>
      </c>
      <c r="B31" s="49"/>
      <c r="C31" s="5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90"/>
      <c r="S31" s="190"/>
      <c r="T31" s="190"/>
      <c r="U31" s="6"/>
      <c r="V31" s="5"/>
      <c r="W31" s="5"/>
      <c r="X31" s="5"/>
      <c r="Y31" s="5"/>
    </row>
    <row r="32" spans="1:25" s="33" customFormat="1" ht="19.5" customHeight="1">
      <c r="A32" s="38" t="s">
        <v>25</v>
      </c>
      <c r="B32" s="39"/>
      <c r="C32" s="40"/>
      <c r="D32" s="6"/>
      <c r="E32" s="6"/>
      <c r="F32" s="6"/>
      <c r="G32" s="6"/>
      <c r="H32" s="6"/>
      <c r="I32" s="6"/>
      <c r="J32" s="6"/>
      <c r="K32" s="6"/>
      <c r="L32" s="6"/>
      <c r="M32" s="6">
        <v>5</v>
      </c>
      <c r="N32" s="6"/>
      <c r="O32" s="6"/>
      <c r="P32" s="6"/>
      <c r="Q32" s="6"/>
      <c r="R32" s="190">
        <v>7</v>
      </c>
      <c r="S32" s="190"/>
      <c r="T32" s="190"/>
      <c r="U32" s="6"/>
      <c r="V32" s="5"/>
      <c r="W32" s="5"/>
      <c r="X32" s="5"/>
      <c r="Y32" s="5"/>
    </row>
    <row r="33" spans="1:25" s="33" customFormat="1" ht="19.5" customHeight="1">
      <c r="A33" s="48" t="s">
        <v>26</v>
      </c>
      <c r="B33" s="39"/>
      <c r="C33" s="4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90"/>
      <c r="S33" s="190"/>
      <c r="T33" s="190"/>
      <c r="U33" s="6"/>
      <c r="V33" s="5"/>
      <c r="W33" s="5"/>
      <c r="X33" s="5"/>
      <c r="Y33" s="5"/>
    </row>
    <row r="34" spans="1:25" s="33" customFormat="1" ht="19.5" customHeight="1">
      <c r="A34" s="38" t="s">
        <v>27</v>
      </c>
      <c r="B34" s="39"/>
      <c r="C34" s="40"/>
      <c r="D34" s="6"/>
      <c r="E34" s="6">
        <v>149</v>
      </c>
      <c r="F34" s="6">
        <v>66</v>
      </c>
      <c r="G34" s="6">
        <v>135</v>
      </c>
      <c r="H34" s="6">
        <v>116</v>
      </c>
      <c r="I34" s="6">
        <v>75</v>
      </c>
      <c r="J34" s="6">
        <v>85</v>
      </c>
      <c r="K34" s="6">
        <v>71</v>
      </c>
      <c r="L34" s="6">
        <v>44</v>
      </c>
      <c r="M34" s="6">
        <f>13+14.77</f>
        <v>27.77</v>
      </c>
      <c r="N34" s="6">
        <v>27</v>
      </c>
      <c r="O34" s="6">
        <v>1</v>
      </c>
      <c r="P34" s="6">
        <v>11</v>
      </c>
      <c r="Q34" s="6">
        <v>19</v>
      </c>
      <c r="R34" s="190">
        <v>3</v>
      </c>
      <c r="S34" s="190">
        <v>2</v>
      </c>
      <c r="T34" s="190">
        <v>5.2</v>
      </c>
      <c r="U34" s="6">
        <v>7</v>
      </c>
      <c r="V34" s="5">
        <v>16</v>
      </c>
      <c r="W34" s="5">
        <v>16</v>
      </c>
      <c r="X34" s="5"/>
      <c r="Y34" s="5"/>
    </row>
    <row r="35" spans="1:25" s="33" customFormat="1" ht="19.5" customHeight="1">
      <c r="A35" s="38" t="s">
        <v>28</v>
      </c>
      <c r="B35" s="39"/>
      <c r="C35" s="40"/>
      <c r="D35" s="6"/>
      <c r="E35" s="6"/>
      <c r="F35" s="6"/>
      <c r="G35" s="6"/>
      <c r="H35" s="6"/>
      <c r="I35" s="6"/>
      <c r="J35" s="6"/>
      <c r="K35" s="6">
        <v>9</v>
      </c>
      <c r="L35" s="6"/>
      <c r="M35" s="6"/>
      <c r="N35" s="6"/>
      <c r="O35" s="6"/>
      <c r="P35" s="6"/>
      <c r="Q35" s="6"/>
      <c r="R35" s="190"/>
      <c r="S35" s="190"/>
      <c r="T35" s="190">
        <v>6</v>
      </c>
      <c r="U35" s="6"/>
      <c r="V35" s="5"/>
      <c r="W35" s="5"/>
      <c r="X35" s="5"/>
      <c r="Y35" s="5"/>
    </row>
    <row r="36" spans="1:25" s="44" customFormat="1" ht="19.5" customHeight="1">
      <c r="A36" s="114" t="s">
        <v>29</v>
      </c>
      <c r="B36" s="115"/>
      <c r="C36" s="116"/>
      <c r="D36" s="117"/>
      <c r="E36" s="117">
        <v>149</v>
      </c>
      <c r="F36" s="117">
        <v>66</v>
      </c>
      <c r="G36" s="117">
        <v>192</v>
      </c>
      <c r="H36" s="117">
        <v>124</v>
      </c>
      <c r="I36" s="117">
        <v>80</v>
      </c>
      <c r="J36" s="117">
        <v>92</v>
      </c>
      <c r="K36" s="117">
        <f aca="true" t="shared" si="5" ref="K36:P36">SUM(K28:K35)</f>
        <v>94</v>
      </c>
      <c r="L36" s="117">
        <f t="shared" si="5"/>
        <v>74</v>
      </c>
      <c r="M36" s="117">
        <f t="shared" si="5"/>
        <v>53.769999999999996</v>
      </c>
      <c r="N36" s="117">
        <f t="shared" si="5"/>
        <v>49</v>
      </c>
      <c r="O36" s="117">
        <f t="shared" si="5"/>
        <v>18</v>
      </c>
      <c r="P36" s="117">
        <f t="shared" si="5"/>
        <v>13.879999999999999</v>
      </c>
      <c r="Q36" s="125">
        <f aca="true" t="shared" si="6" ref="Q36:X36">SUM(Q28:Q35)</f>
        <v>24</v>
      </c>
      <c r="R36" s="125">
        <f t="shared" si="6"/>
        <v>17</v>
      </c>
      <c r="S36" s="125">
        <f t="shared" si="6"/>
        <v>13</v>
      </c>
      <c r="T36" s="125">
        <f t="shared" si="6"/>
        <v>29.2</v>
      </c>
      <c r="U36" s="310">
        <f t="shared" si="6"/>
        <v>19</v>
      </c>
      <c r="V36" s="310">
        <f t="shared" si="6"/>
        <v>19</v>
      </c>
      <c r="W36" s="310">
        <f t="shared" si="6"/>
        <v>16</v>
      </c>
      <c r="X36" s="310">
        <f t="shared" si="6"/>
        <v>0</v>
      </c>
      <c r="Y36" s="361">
        <f>SUM(Y28:Y35)</f>
        <v>0</v>
      </c>
    </row>
    <row r="37" spans="1:25" s="33" customFormat="1" ht="19.5" customHeight="1">
      <c r="A37" s="38" t="s">
        <v>91</v>
      </c>
      <c r="B37" s="39"/>
      <c r="C37" s="40"/>
      <c r="D37" s="6">
        <v>7222</v>
      </c>
      <c r="E37" s="6">
        <v>7241</v>
      </c>
      <c r="F37" s="6">
        <v>8014</v>
      </c>
      <c r="G37" s="6">
        <v>7487</v>
      </c>
      <c r="H37" s="6">
        <v>4998</v>
      </c>
      <c r="I37" s="6">
        <v>6744</v>
      </c>
      <c r="J37" s="6">
        <v>7149</v>
      </c>
      <c r="K37" s="6">
        <v>6053</v>
      </c>
      <c r="L37" s="6">
        <v>4938</v>
      </c>
      <c r="M37" s="6">
        <v>4771</v>
      </c>
      <c r="N37" s="6">
        <v>3943</v>
      </c>
      <c r="O37" s="65">
        <f>(2669.06)+142238/100</f>
        <v>4091.44</v>
      </c>
      <c r="P37" s="65">
        <v>3638</v>
      </c>
      <c r="Q37" s="65">
        <v>2214</v>
      </c>
      <c r="R37" s="228">
        <v>2108</v>
      </c>
      <c r="S37" s="228">
        <v>2408</v>
      </c>
      <c r="T37" s="190">
        <v>748.2</v>
      </c>
      <c r="U37" s="6">
        <v>1836</v>
      </c>
      <c r="V37" s="5"/>
      <c r="W37" s="5"/>
      <c r="X37" s="5"/>
      <c r="Y37" s="5"/>
    </row>
    <row r="38" spans="1:25" s="37" customFormat="1" ht="19.5" customHeight="1">
      <c r="A38" s="45" t="s">
        <v>31</v>
      </c>
      <c r="B38" s="46"/>
      <c r="C38" s="4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75"/>
      <c r="P38" s="20"/>
      <c r="Q38" s="190"/>
      <c r="R38" s="190"/>
      <c r="S38" s="190"/>
      <c r="T38" s="190"/>
      <c r="U38" s="190"/>
      <c r="V38" s="5"/>
      <c r="W38" s="5"/>
      <c r="X38" s="5"/>
      <c r="Y38" s="5"/>
    </row>
    <row r="39" spans="1:25" s="37" customFormat="1" ht="19.5" customHeight="1">
      <c r="A39" s="45" t="s">
        <v>93</v>
      </c>
      <c r="B39" s="46"/>
      <c r="C39" s="47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75"/>
      <c r="P39" s="20"/>
      <c r="Q39" s="190"/>
      <c r="R39" s="190"/>
      <c r="S39" s="190"/>
      <c r="T39" s="190">
        <v>1</v>
      </c>
      <c r="U39" s="190"/>
      <c r="V39" s="5"/>
      <c r="W39" s="5"/>
      <c r="X39" s="5"/>
      <c r="Y39" s="5"/>
    </row>
    <row r="40" spans="1:25" s="33" customFormat="1" ht="19.5" customHeight="1">
      <c r="A40" s="45" t="s">
        <v>92</v>
      </c>
      <c r="B40" s="39"/>
      <c r="C40" s="40"/>
      <c r="D40" s="6"/>
      <c r="E40" s="6"/>
      <c r="F40" s="6"/>
      <c r="G40" s="6"/>
      <c r="H40" s="6"/>
      <c r="I40" s="6"/>
      <c r="J40" s="6"/>
      <c r="K40" s="6"/>
      <c r="L40" s="6">
        <v>2</v>
      </c>
      <c r="M40" s="6">
        <v>6</v>
      </c>
      <c r="N40" s="6">
        <v>15</v>
      </c>
      <c r="O40" s="65">
        <f>49.7+14</f>
        <v>63.7</v>
      </c>
      <c r="P40" s="6">
        <v>80</v>
      </c>
      <c r="Q40" s="6">
        <v>73</v>
      </c>
      <c r="R40" s="190">
        <v>68</v>
      </c>
      <c r="S40" s="190">
        <v>89</v>
      </c>
      <c r="T40" s="190">
        <v>79.83</v>
      </c>
      <c r="U40" s="6">
        <v>78</v>
      </c>
      <c r="V40" s="5"/>
      <c r="W40" s="5"/>
      <c r="X40" s="5"/>
      <c r="Y40" s="5"/>
    </row>
    <row r="41" spans="1:25" s="33" customFormat="1" ht="19.5" customHeight="1">
      <c r="A41" s="38" t="s">
        <v>33</v>
      </c>
      <c r="B41" s="39"/>
      <c r="C41" s="4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5"/>
      <c r="P41" s="6"/>
      <c r="Q41" s="6"/>
      <c r="R41" s="190"/>
      <c r="S41" s="190"/>
      <c r="T41" s="190"/>
      <c r="U41" s="6"/>
      <c r="V41" s="5"/>
      <c r="W41" s="5"/>
      <c r="X41" s="5"/>
      <c r="Y41" s="5"/>
    </row>
    <row r="42" spans="1:25" s="33" customFormat="1" ht="19.5" customHeight="1">
      <c r="A42" s="38" t="s">
        <v>34</v>
      </c>
      <c r="B42" s="39"/>
      <c r="C42" s="40"/>
      <c r="D42" s="6">
        <v>2147</v>
      </c>
      <c r="E42" s="6">
        <v>2010</v>
      </c>
      <c r="F42" s="6">
        <v>2231</v>
      </c>
      <c r="G42" s="6">
        <v>2230</v>
      </c>
      <c r="H42" s="6">
        <v>1884</v>
      </c>
      <c r="I42" s="6">
        <v>1948</v>
      </c>
      <c r="J42" s="6">
        <v>2028</v>
      </c>
      <c r="K42" s="6">
        <v>2186</v>
      </c>
      <c r="L42" s="6">
        <v>2114</v>
      </c>
      <c r="M42" s="6"/>
      <c r="N42" s="6"/>
      <c r="O42" s="65">
        <f>(29854+40321+19676)/100</f>
        <v>898.51</v>
      </c>
      <c r="P42" s="6"/>
      <c r="Q42" s="6">
        <v>2300.39</v>
      </c>
      <c r="R42" s="190">
        <v>2223.32</v>
      </c>
      <c r="S42" s="190">
        <v>2054.29</v>
      </c>
      <c r="T42" s="190"/>
      <c r="U42" s="6">
        <v>2350</v>
      </c>
      <c r="V42" s="5"/>
      <c r="W42" s="5"/>
      <c r="X42" s="5"/>
      <c r="Y42" s="5"/>
    </row>
    <row r="43" spans="1:25" s="33" customFormat="1" ht="19.5" customHeight="1">
      <c r="A43" s="38" t="s">
        <v>35</v>
      </c>
      <c r="B43" s="39"/>
      <c r="C43" s="4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90"/>
      <c r="S43" s="190"/>
      <c r="T43" s="190"/>
      <c r="U43" s="6"/>
      <c r="V43" s="5"/>
      <c r="W43" s="5"/>
      <c r="X43" s="5"/>
      <c r="Y43" s="5"/>
    </row>
    <row r="44" spans="1:25" s="33" customFormat="1" ht="19.5" customHeight="1">
      <c r="A44" s="38" t="s">
        <v>36</v>
      </c>
      <c r="B44" s="39"/>
      <c r="C44" s="4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90"/>
      <c r="S44" s="190"/>
      <c r="T44" s="190"/>
      <c r="U44" s="6"/>
      <c r="V44" s="5"/>
      <c r="W44" s="5"/>
      <c r="X44" s="5"/>
      <c r="Y44" s="5"/>
    </row>
    <row r="45" spans="1:25" s="33" customFormat="1" ht="19.5" customHeight="1">
      <c r="A45" s="38" t="s">
        <v>37</v>
      </c>
      <c r="B45" s="39"/>
      <c r="C45" s="40"/>
      <c r="D45" s="6"/>
      <c r="E45" s="6"/>
      <c r="F45" s="6"/>
      <c r="G45" s="6"/>
      <c r="H45" s="6"/>
      <c r="I45" s="6"/>
      <c r="J45" s="6"/>
      <c r="K45" s="6"/>
      <c r="L45" s="6">
        <v>7</v>
      </c>
      <c r="M45" s="6">
        <v>15</v>
      </c>
      <c r="N45" s="6"/>
      <c r="O45" s="6"/>
      <c r="P45" s="6"/>
      <c r="Q45" s="6"/>
      <c r="R45" s="190">
        <v>7</v>
      </c>
      <c r="S45" s="190">
        <v>6.4</v>
      </c>
      <c r="T45" s="190">
        <v>8</v>
      </c>
      <c r="U45" s="6">
        <v>11</v>
      </c>
      <c r="V45" s="5"/>
      <c r="W45" s="5"/>
      <c r="X45" s="5"/>
      <c r="Y45" s="5"/>
    </row>
    <row r="46" spans="1:25" s="62" customFormat="1" ht="19.5" customHeight="1">
      <c r="A46" s="118" t="s">
        <v>38</v>
      </c>
      <c r="B46" s="119"/>
      <c r="C46" s="120"/>
      <c r="D46" s="121">
        <f>+D16+D27+D36+D37+D42+D40+D45</f>
        <v>18873</v>
      </c>
      <c r="E46" s="121">
        <f aca="true" t="shared" si="7" ref="E46:P46">+E16+E27+E36+E37+E42+E40+E45</f>
        <v>20585</v>
      </c>
      <c r="F46" s="121">
        <f t="shared" si="7"/>
        <v>20976</v>
      </c>
      <c r="G46" s="121">
        <f t="shared" si="7"/>
        <v>19987</v>
      </c>
      <c r="H46" s="121">
        <f t="shared" si="7"/>
        <v>16481</v>
      </c>
      <c r="I46" s="121">
        <f t="shared" si="7"/>
        <v>17423</v>
      </c>
      <c r="J46" s="117">
        <f t="shared" si="7"/>
        <v>18473</v>
      </c>
      <c r="K46" s="117">
        <f t="shared" si="7"/>
        <v>18816</v>
      </c>
      <c r="L46" s="117">
        <f t="shared" si="7"/>
        <v>18414.39</v>
      </c>
      <c r="M46" s="117">
        <f t="shared" si="7"/>
        <v>15900.85</v>
      </c>
      <c r="N46" s="117">
        <f t="shared" si="7"/>
        <v>14950</v>
      </c>
      <c r="O46" s="117">
        <f t="shared" si="7"/>
        <v>15532.890000000001</v>
      </c>
      <c r="P46" s="117">
        <f t="shared" si="7"/>
        <v>14572.48</v>
      </c>
      <c r="Q46" s="125">
        <f aca="true" t="shared" si="8" ref="Q46:X46">SUM(Q16+Q27+Q36+Q37+Q40+Q42+Q45)</f>
        <v>14321.39</v>
      </c>
      <c r="R46" s="125">
        <f t="shared" si="8"/>
        <v>14413.32</v>
      </c>
      <c r="S46" s="125">
        <f t="shared" si="8"/>
        <v>14116.890000000001</v>
      </c>
      <c r="T46" s="125">
        <f t="shared" si="8"/>
        <v>11382.920000000002</v>
      </c>
      <c r="U46" s="125">
        <f t="shared" si="8"/>
        <v>14366</v>
      </c>
      <c r="V46" s="125">
        <f t="shared" si="8"/>
        <v>10537</v>
      </c>
      <c r="W46" s="125">
        <f t="shared" si="8"/>
        <v>9030</v>
      </c>
      <c r="X46" s="125">
        <f t="shared" si="8"/>
        <v>10024</v>
      </c>
      <c r="Y46" s="360">
        <f>SUM(Y16+Y27+Y36+Y37+Y40+Y42+Y45)</f>
        <v>11419</v>
      </c>
    </row>
    <row r="47" spans="6:255" s="25" customFormat="1" ht="12.75">
      <c r="F47" s="26" t="s">
        <v>39</v>
      </c>
      <c r="G47" s="26" t="s">
        <v>39</v>
      </c>
      <c r="I47" s="27"/>
      <c r="J47" s="29"/>
      <c r="K47" s="29"/>
      <c r="L47" s="29"/>
      <c r="M47" s="29"/>
      <c r="N47" s="29"/>
      <c r="O47" s="29"/>
      <c r="P47" s="29"/>
      <c r="Q47" s="29"/>
      <c r="R47" s="293"/>
      <c r="S47" s="293"/>
      <c r="T47" s="293"/>
      <c r="U47" s="291"/>
      <c r="V47"/>
      <c r="W47"/>
      <c r="X47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:24" s="29" customFormat="1" ht="12.75">
      <c r="A48" s="28"/>
      <c r="B48" s="28"/>
      <c r="C48" s="28"/>
      <c r="D48" s="28"/>
      <c r="E48" s="28"/>
      <c r="F48" s="28"/>
      <c r="G48" s="28"/>
      <c r="H48" s="28"/>
      <c r="R48" s="293"/>
      <c r="S48" s="293"/>
      <c r="T48" s="293"/>
      <c r="U48" s="291"/>
      <c r="V48"/>
      <c r="W48"/>
      <c r="X48"/>
    </row>
    <row r="49" spans="18:24" s="29" customFormat="1" ht="12.75">
      <c r="R49" s="293"/>
      <c r="S49" s="293"/>
      <c r="T49" s="293"/>
      <c r="U49" s="291"/>
      <c r="V49"/>
      <c r="W49"/>
      <c r="X49"/>
    </row>
    <row r="50" spans="18:24" s="29" customFormat="1" ht="12.75">
      <c r="R50" s="293"/>
      <c r="S50" s="293"/>
      <c r="T50" s="293"/>
      <c r="U50" s="291"/>
      <c r="V50"/>
      <c r="W50"/>
      <c r="X50"/>
    </row>
    <row r="51" spans="4:24" s="29" customFormat="1" ht="12.75">
      <c r="D51" s="29" t="s">
        <v>118</v>
      </c>
      <c r="R51" s="293"/>
      <c r="S51" s="293"/>
      <c r="T51" s="293"/>
      <c r="U51" s="291"/>
      <c r="V51"/>
      <c r="W51"/>
      <c r="X51"/>
    </row>
    <row r="52" spans="18:24" s="29" customFormat="1" ht="12.75">
      <c r="R52" s="293"/>
      <c r="S52" s="293"/>
      <c r="T52" s="293"/>
      <c r="U52" s="291"/>
      <c r="V52"/>
      <c r="W52"/>
      <c r="X52"/>
    </row>
    <row r="53" spans="18:24" s="29" customFormat="1" ht="12.75">
      <c r="R53" s="293"/>
      <c r="S53" s="293"/>
      <c r="T53" s="293"/>
      <c r="U53" s="291"/>
      <c r="V53"/>
      <c r="W53"/>
      <c r="X53"/>
    </row>
    <row r="54" spans="18:24" s="29" customFormat="1" ht="12.75">
      <c r="R54" s="293"/>
      <c r="S54" s="293"/>
      <c r="T54" s="293"/>
      <c r="U54" s="291"/>
      <c r="V54"/>
      <c r="W54"/>
      <c r="X54"/>
    </row>
    <row r="55" spans="18:24" s="29" customFormat="1" ht="12.75">
      <c r="R55" s="293"/>
      <c r="S55" s="293"/>
      <c r="T55" s="293"/>
      <c r="U55" s="291"/>
      <c r="V55"/>
      <c r="W55"/>
      <c r="X55"/>
    </row>
    <row r="56" spans="18:24" s="29" customFormat="1" ht="12.75">
      <c r="R56" s="293"/>
      <c r="S56" s="293"/>
      <c r="T56" s="293"/>
      <c r="U56" s="291"/>
      <c r="V56"/>
      <c r="W56"/>
      <c r="X56"/>
    </row>
    <row r="57" spans="18:24" s="29" customFormat="1" ht="12.75">
      <c r="R57" s="293"/>
      <c r="S57" s="293"/>
      <c r="T57" s="293"/>
      <c r="U57" s="291"/>
      <c r="V57"/>
      <c r="W57"/>
      <c r="X57"/>
    </row>
  </sheetData>
  <sheetProtection/>
  <mergeCells count="4">
    <mergeCell ref="A2:I2"/>
    <mergeCell ref="M5:M6"/>
    <mergeCell ref="M11:M12"/>
    <mergeCell ref="N5:N6"/>
  </mergeCells>
  <printOptions/>
  <pageMargins left="0.3937007874015748" right="0.1968503937007874" top="0.3937007874015748" bottom="0.1968503937007874" header="0.5118110236220472" footer="0.511811023622047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FF98F"/>
  </sheetPr>
  <dimension ref="A1:AA47"/>
  <sheetViews>
    <sheetView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Y9" sqref="Y9"/>
    </sheetView>
  </sheetViews>
  <sheetFormatPr defaultColWidth="11.421875" defaultRowHeight="12.75"/>
  <cols>
    <col min="3" max="3" width="2.421875" style="0" customWidth="1"/>
    <col min="4" max="4" width="9.8515625" style="0" hidden="1" customWidth="1"/>
    <col min="5" max="5" width="10.7109375" style="0" hidden="1" customWidth="1"/>
    <col min="6" max="6" width="10.421875" style="0" hidden="1" customWidth="1"/>
    <col min="7" max="7" width="10.140625" style="0" hidden="1" customWidth="1"/>
    <col min="8" max="8" width="11.421875" style="0" hidden="1" customWidth="1"/>
    <col min="9" max="10" width="10.28125" style="0" hidden="1" customWidth="1"/>
    <col min="11" max="11" width="10.140625" style="33" hidden="1" customWidth="1"/>
    <col min="12" max="12" width="0" style="33" hidden="1" customWidth="1"/>
    <col min="13" max="15" width="0" style="0" hidden="1" customWidth="1"/>
    <col min="23" max="24" width="8.140625" style="0" bestFit="1" customWidth="1"/>
    <col min="25" max="26" width="7.00390625" style="0" bestFit="1" customWidth="1"/>
  </cols>
  <sheetData>
    <row r="1" spans="1:9" ht="16.5" customHeight="1">
      <c r="A1" s="107" t="s">
        <v>81</v>
      </c>
      <c r="B1" s="108"/>
      <c r="C1" s="108"/>
      <c r="D1" s="108"/>
      <c r="E1" s="1"/>
      <c r="F1" s="1"/>
      <c r="G1" s="1"/>
      <c r="H1" s="1"/>
      <c r="I1" s="1"/>
    </row>
    <row r="2" spans="1:17" ht="16.5" customHeight="1">
      <c r="A2" s="378" t="s">
        <v>41</v>
      </c>
      <c r="B2" s="378"/>
      <c r="C2" s="378"/>
      <c r="D2" s="378"/>
      <c r="E2" s="378"/>
      <c r="F2" s="378"/>
      <c r="G2" s="378"/>
      <c r="H2" s="378"/>
      <c r="I2" s="378"/>
      <c r="J2" s="379"/>
      <c r="P2" s="272"/>
      <c r="Q2" s="272"/>
    </row>
    <row r="3" spans="1:10" ht="4.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7" s="54" customFormat="1" ht="19.5" customHeight="1">
      <c r="A5" s="109" t="s">
        <v>0</v>
      </c>
      <c r="B5" s="110"/>
      <c r="C5" s="111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12">
        <v>2002</v>
      </c>
      <c r="J5" s="112">
        <v>2003</v>
      </c>
      <c r="K5" s="113">
        <v>2004</v>
      </c>
      <c r="L5" s="113">
        <v>2005</v>
      </c>
      <c r="M5" s="113">
        <v>2006</v>
      </c>
      <c r="N5" s="113">
        <v>2007</v>
      </c>
      <c r="O5" s="113">
        <v>2008</v>
      </c>
      <c r="P5" s="113">
        <v>2009</v>
      </c>
      <c r="Q5" s="113">
        <v>2010</v>
      </c>
      <c r="R5" s="113">
        <v>2011</v>
      </c>
      <c r="S5" s="113">
        <v>2012</v>
      </c>
      <c r="T5" s="113">
        <v>2013</v>
      </c>
      <c r="U5" s="113">
        <v>2014</v>
      </c>
      <c r="V5" s="113">
        <v>2015</v>
      </c>
      <c r="W5" s="113">
        <v>2016</v>
      </c>
      <c r="X5" s="113">
        <v>2017</v>
      </c>
      <c r="Y5" s="113">
        <v>2018</v>
      </c>
      <c r="Z5" s="113">
        <v>2019</v>
      </c>
      <c r="AA5" s="113"/>
    </row>
    <row r="6" spans="1:24" s="54" customFormat="1" ht="19.5" customHeight="1">
      <c r="A6" s="34" t="s">
        <v>1</v>
      </c>
      <c r="B6" s="31"/>
      <c r="C6" s="32"/>
      <c r="D6" s="6">
        <v>23024</v>
      </c>
      <c r="E6" s="6">
        <v>19187</v>
      </c>
      <c r="F6" s="6">
        <v>22538</v>
      </c>
      <c r="G6" s="6">
        <v>18769</v>
      </c>
      <c r="H6" s="6">
        <v>17762</v>
      </c>
      <c r="I6" s="6">
        <v>18102</v>
      </c>
      <c r="J6" s="255">
        <v>20814</v>
      </c>
      <c r="K6" s="255">
        <v>19539</v>
      </c>
      <c r="L6" s="255">
        <v>15608</v>
      </c>
      <c r="M6" s="255">
        <v>14633</v>
      </c>
      <c r="N6" s="256">
        <v>14198</v>
      </c>
      <c r="O6" s="257">
        <v>18252</v>
      </c>
      <c r="P6" s="257">
        <v>12523</v>
      </c>
      <c r="Q6" s="255">
        <v>8935</v>
      </c>
      <c r="R6" s="255">
        <v>9780</v>
      </c>
      <c r="S6" s="256">
        <v>10073</v>
      </c>
      <c r="T6" s="258">
        <v>9480</v>
      </c>
      <c r="U6" s="258">
        <v>8292</v>
      </c>
      <c r="V6" s="258">
        <v>8083</v>
      </c>
      <c r="W6" s="258">
        <v>7759</v>
      </c>
      <c r="X6" s="258">
        <v>8111</v>
      </c>
    </row>
    <row r="7" spans="1:24" s="33" customFormat="1" ht="19.5" customHeight="1">
      <c r="A7" s="38" t="s">
        <v>2</v>
      </c>
      <c r="B7" s="39"/>
      <c r="C7" s="40"/>
      <c r="D7" s="6">
        <v>36733</v>
      </c>
      <c r="E7" s="6">
        <v>36964</v>
      </c>
      <c r="F7" s="6">
        <v>35592</v>
      </c>
      <c r="G7" s="6">
        <v>34383</v>
      </c>
      <c r="H7" s="6">
        <v>32995</v>
      </c>
      <c r="I7" s="6">
        <v>30238</v>
      </c>
      <c r="J7" s="255">
        <v>30210</v>
      </c>
      <c r="K7" s="255">
        <v>34218</v>
      </c>
      <c r="L7" s="255">
        <v>29714</v>
      </c>
      <c r="M7" s="255">
        <v>29142</v>
      </c>
      <c r="N7" s="256">
        <v>28540</v>
      </c>
      <c r="O7" s="257">
        <v>30048</v>
      </c>
      <c r="P7" s="257">
        <v>28167</v>
      </c>
      <c r="Q7" s="255">
        <v>23813</v>
      </c>
      <c r="R7" s="255">
        <v>22686</v>
      </c>
      <c r="S7" s="256">
        <v>24524</v>
      </c>
      <c r="T7" s="259">
        <v>29031</v>
      </c>
      <c r="U7" s="259">
        <v>26009</v>
      </c>
      <c r="V7" s="259">
        <v>24606</v>
      </c>
      <c r="W7" s="259">
        <v>18762</v>
      </c>
      <c r="X7" s="259">
        <v>20941</v>
      </c>
    </row>
    <row r="8" spans="1:24" s="33" customFormat="1" ht="19.5" customHeight="1">
      <c r="A8" s="38" t="s">
        <v>42</v>
      </c>
      <c r="B8" s="39"/>
      <c r="C8" s="40"/>
      <c r="D8" s="6">
        <v>7757</v>
      </c>
      <c r="E8" s="6">
        <v>6757</v>
      </c>
      <c r="F8" s="6">
        <v>6786</v>
      </c>
      <c r="G8" s="6">
        <v>6105</v>
      </c>
      <c r="H8" s="6">
        <v>6527</v>
      </c>
      <c r="I8" s="6">
        <v>6863</v>
      </c>
      <c r="J8" s="255">
        <v>7406</v>
      </c>
      <c r="K8" s="255">
        <v>6331</v>
      </c>
      <c r="L8" s="255">
        <v>5242</v>
      </c>
      <c r="M8" s="255">
        <v>4640</v>
      </c>
      <c r="N8" s="256">
        <v>4769</v>
      </c>
      <c r="O8" s="257">
        <v>5129</v>
      </c>
      <c r="P8" s="257">
        <v>4720</v>
      </c>
      <c r="Q8" s="255">
        <v>3828</v>
      </c>
      <c r="R8" s="255">
        <v>3728</v>
      </c>
      <c r="S8" s="256">
        <v>4168</v>
      </c>
      <c r="T8" s="258">
        <v>4194</v>
      </c>
      <c r="U8" s="258">
        <v>3260</v>
      </c>
      <c r="V8" s="258">
        <v>2598</v>
      </c>
      <c r="W8" s="258">
        <v>3833</v>
      </c>
      <c r="X8" s="258">
        <v>3741</v>
      </c>
    </row>
    <row r="9" spans="1:24" s="33" customFormat="1" ht="19.5" customHeight="1">
      <c r="A9" s="38" t="s">
        <v>43</v>
      </c>
      <c r="B9" s="39"/>
      <c r="C9" s="40"/>
      <c r="D9" s="6">
        <v>361</v>
      </c>
      <c r="E9" s="6">
        <v>476</v>
      </c>
      <c r="F9" s="6">
        <v>432</v>
      </c>
      <c r="G9" s="6">
        <v>372</v>
      </c>
      <c r="H9" s="6">
        <v>321</v>
      </c>
      <c r="I9" s="6">
        <v>221</v>
      </c>
      <c r="J9" s="255">
        <v>266</v>
      </c>
      <c r="K9" s="255">
        <v>405</v>
      </c>
      <c r="L9" s="255">
        <v>259</v>
      </c>
      <c r="M9" s="255">
        <v>300</v>
      </c>
      <c r="N9" s="256">
        <v>345</v>
      </c>
      <c r="O9" s="257">
        <v>345</v>
      </c>
      <c r="P9" s="257">
        <v>332</v>
      </c>
      <c r="Q9" s="255">
        <v>259</v>
      </c>
      <c r="R9" s="255">
        <v>344</v>
      </c>
      <c r="S9" s="256">
        <v>321</v>
      </c>
      <c r="T9" s="259">
        <v>424</v>
      </c>
      <c r="U9" s="259">
        <v>359</v>
      </c>
      <c r="V9" s="259">
        <v>349</v>
      </c>
      <c r="W9" s="259">
        <v>352</v>
      </c>
      <c r="X9" s="259">
        <v>313</v>
      </c>
    </row>
    <row r="10" spans="1:24" s="33" customFormat="1" ht="19.5" customHeight="1">
      <c r="A10" s="38" t="s">
        <v>44</v>
      </c>
      <c r="B10" s="39"/>
      <c r="C10" s="40"/>
      <c r="D10" s="6">
        <v>15065</v>
      </c>
      <c r="E10" s="6">
        <v>14413</v>
      </c>
      <c r="F10" s="6">
        <v>15713</v>
      </c>
      <c r="G10" s="6">
        <v>13585</v>
      </c>
      <c r="H10" s="6">
        <v>12482</v>
      </c>
      <c r="I10" s="6">
        <v>11635</v>
      </c>
      <c r="J10" s="255">
        <v>9510</v>
      </c>
      <c r="K10" s="255">
        <v>9808</v>
      </c>
      <c r="L10" s="255">
        <v>7856</v>
      </c>
      <c r="M10" s="255">
        <v>8522</v>
      </c>
      <c r="N10" s="256">
        <v>9618</v>
      </c>
      <c r="O10" s="257">
        <v>11991</v>
      </c>
      <c r="P10" s="257">
        <v>12889</v>
      </c>
      <c r="Q10" s="255">
        <v>9274</v>
      </c>
      <c r="R10" s="255">
        <v>11125</v>
      </c>
      <c r="S10" s="256">
        <v>12988</v>
      </c>
      <c r="T10" s="259">
        <v>13162</v>
      </c>
      <c r="U10" s="259">
        <v>11361</v>
      </c>
      <c r="V10" s="259">
        <v>11544</v>
      </c>
      <c r="W10" s="259">
        <v>8911</v>
      </c>
      <c r="X10" s="259">
        <v>9264</v>
      </c>
    </row>
    <row r="11" spans="1:24" s="33" customFormat="1" ht="19.5" customHeight="1">
      <c r="A11" s="38" t="s">
        <v>45</v>
      </c>
      <c r="B11" s="39"/>
      <c r="C11" s="40"/>
      <c r="D11" s="6">
        <v>135</v>
      </c>
      <c r="E11" s="6">
        <v>257</v>
      </c>
      <c r="F11" s="6">
        <v>399</v>
      </c>
      <c r="G11" s="6">
        <v>263</v>
      </c>
      <c r="H11" s="6">
        <v>302</v>
      </c>
      <c r="I11" s="6">
        <v>402</v>
      </c>
      <c r="J11" s="255">
        <v>460</v>
      </c>
      <c r="K11" s="255">
        <v>647</v>
      </c>
      <c r="L11" s="255">
        <v>538</v>
      </c>
      <c r="M11" s="255">
        <v>638</v>
      </c>
      <c r="N11" s="256">
        <v>437</v>
      </c>
      <c r="O11" s="257">
        <v>498</v>
      </c>
      <c r="P11" s="257">
        <v>498</v>
      </c>
      <c r="Q11" s="255">
        <v>438</v>
      </c>
      <c r="R11" s="255">
        <v>673</v>
      </c>
      <c r="S11" s="256">
        <v>666</v>
      </c>
      <c r="T11" s="259">
        <v>731</v>
      </c>
      <c r="U11" s="259">
        <v>732</v>
      </c>
      <c r="V11" s="259">
        <v>653</v>
      </c>
      <c r="W11" s="259">
        <v>694</v>
      </c>
      <c r="X11" s="259">
        <v>662</v>
      </c>
    </row>
    <row r="12" spans="1:24" s="33" customFormat="1" ht="19.5" customHeight="1">
      <c r="A12" s="38" t="s">
        <v>46</v>
      </c>
      <c r="B12" s="39"/>
      <c r="C12" s="40"/>
      <c r="D12" s="6">
        <v>13970</v>
      </c>
      <c r="E12" s="6">
        <v>13924</v>
      </c>
      <c r="F12" s="6">
        <v>13323</v>
      </c>
      <c r="G12" s="6">
        <v>14624</v>
      </c>
      <c r="H12" s="6">
        <v>16820</v>
      </c>
      <c r="I12" s="6">
        <v>18204</v>
      </c>
      <c r="J12" s="255">
        <v>18725</v>
      </c>
      <c r="K12" s="255">
        <v>18885</v>
      </c>
      <c r="L12" s="255">
        <v>14542</v>
      </c>
      <c r="M12" s="255">
        <v>12656</v>
      </c>
      <c r="N12" s="256">
        <v>10528</v>
      </c>
      <c r="O12" s="257">
        <v>10479</v>
      </c>
      <c r="P12" s="257">
        <v>9967</v>
      </c>
      <c r="Q12" s="255">
        <v>10092</v>
      </c>
      <c r="R12" s="255">
        <v>9949</v>
      </c>
      <c r="S12" s="256">
        <v>10367</v>
      </c>
      <c r="T12" s="258">
        <v>11011</v>
      </c>
      <c r="U12" s="258">
        <v>9566</v>
      </c>
      <c r="V12" s="258">
        <v>9453</v>
      </c>
      <c r="W12" s="258">
        <v>9607</v>
      </c>
      <c r="X12" s="258">
        <v>10379</v>
      </c>
    </row>
    <row r="13" spans="1:24" s="33" customFormat="1" ht="19.5" customHeight="1">
      <c r="A13" s="38" t="s">
        <v>5</v>
      </c>
      <c r="B13" s="39"/>
      <c r="C13" s="40"/>
      <c r="D13" s="6">
        <v>2709</v>
      </c>
      <c r="E13" s="6">
        <v>3564</v>
      </c>
      <c r="F13" s="6">
        <v>5016</v>
      </c>
      <c r="G13" s="6">
        <v>3563</v>
      </c>
      <c r="H13" s="6">
        <v>2599</v>
      </c>
      <c r="I13" s="6">
        <v>2539</v>
      </c>
      <c r="J13" s="255">
        <v>3405</v>
      </c>
      <c r="K13" s="255">
        <v>2980</v>
      </c>
      <c r="L13" s="255">
        <v>2636</v>
      </c>
      <c r="M13" s="255">
        <v>2522</v>
      </c>
      <c r="N13" s="256">
        <v>1954</v>
      </c>
      <c r="O13" s="257">
        <v>2479</v>
      </c>
      <c r="P13" s="257">
        <v>2493</v>
      </c>
      <c r="Q13" s="255">
        <v>3004</v>
      </c>
      <c r="R13" s="255">
        <v>2995</v>
      </c>
      <c r="S13" s="256">
        <v>2972</v>
      </c>
      <c r="T13" s="259">
        <v>2788</v>
      </c>
      <c r="U13" s="259">
        <v>2477</v>
      </c>
      <c r="V13" s="259">
        <v>2534</v>
      </c>
      <c r="W13" s="259">
        <v>2460</v>
      </c>
      <c r="X13" s="259">
        <v>2436</v>
      </c>
    </row>
    <row r="14" spans="1:24" s="33" customFormat="1" ht="19.5" customHeight="1">
      <c r="A14" s="38" t="s">
        <v>6</v>
      </c>
      <c r="B14" s="39"/>
      <c r="C14" s="40"/>
      <c r="D14" s="6">
        <v>57002</v>
      </c>
      <c r="E14" s="6">
        <v>61614</v>
      </c>
      <c r="F14" s="6">
        <v>64895</v>
      </c>
      <c r="G14" s="6">
        <v>69853</v>
      </c>
      <c r="H14" s="6">
        <v>66128</v>
      </c>
      <c r="I14" s="6">
        <v>63044</v>
      </c>
      <c r="J14" s="255">
        <v>68854</v>
      </c>
      <c r="K14" s="255">
        <v>75339</v>
      </c>
      <c r="L14" s="255">
        <v>67147</v>
      </c>
      <c r="M14" s="255">
        <v>64418</v>
      </c>
      <c r="N14" s="256">
        <v>62010</v>
      </c>
      <c r="O14" s="257">
        <v>62305</v>
      </c>
      <c r="P14" s="257">
        <v>57349</v>
      </c>
      <c r="Q14" s="255">
        <v>53396</v>
      </c>
      <c r="R14" s="255">
        <v>57339</v>
      </c>
      <c r="S14" s="256">
        <v>58468</v>
      </c>
      <c r="T14" s="259">
        <v>60534</v>
      </c>
      <c r="U14" s="259">
        <v>56640</v>
      </c>
      <c r="V14" s="259">
        <v>52128</v>
      </c>
      <c r="W14" s="259">
        <v>50423</v>
      </c>
      <c r="X14" s="259">
        <v>51587</v>
      </c>
    </row>
    <row r="15" spans="1:24" s="33" customFormat="1" ht="19.5" customHeight="1">
      <c r="A15" s="38" t="s">
        <v>7</v>
      </c>
      <c r="B15" s="39"/>
      <c r="C15" s="40"/>
      <c r="D15" s="6">
        <v>2558</v>
      </c>
      <c r="E15" s="6">
        <v>2469</v>
      </c>
      <c r="F15" s="6">
        <v>1642</v>
      </c>
      <c r="G15" s="6">
        <v>1918</v>
      </c>
      <c r="H15" s="6">
        <v>2567</v>
      </c>
      <c r="I15" s="6">
        <v>2748</v>
      </c>
      <c r="J15" s="255">
        <v>3108</v>
      </c>
      <c r="K15" s="255">
        <v>3198</v>
      </c>
      <c r="L15" s="255">
        <v>3330</v>
      </c>
      <c r="M15" s="255">
        <v>2414</v>
      </c>
      <c r="N15" s="256">
        <v>2757</v>
      </c>
      <c r="O15" s="260">
        <v>3131</v>
      </c>
      <c r="P15" s="260">
        <v>3403</v>
      </c>
      <c r="Q15" s="255">
        <v>3782</v>
      </c>
      <c r="R15" s="255">
        <v>3982</v>
      </c>
      <c r="S15" s="256">
        <v>4198</v>
      </c>
      <c r="T15" s="259">
        <v>4253</v>
      </c>
      <c r="U15" s="259">
        <v>4414</v>
      </c>
      <c r="V15" s="259">
        <v>4121</v>
      </c>
      <c r="W15" s="259">
        <v>3881</v>
      </c>
      <c r="X15" s="259">
        <v>3679</v>
      </c>
    </row>
    <row r="16" spans="1:24" s="55" customFormat="1" ht="19.5" customHeight="1">
      <c r="A16" s="122" t="s">
        <v>9</v>
      </c>
      <c r="B16" s="123"/>
      <c r="C16" s="124"/>
      <c r="D16" s="125">
        <v>159314</v>
      </c>
      <c r="E16" s="125">
        <v>159625</v>
      </c>
      <c r="F16" s="125">
        <f aca="true" t="shared" si="0" ref="F16:K16">SUM(F6:F15)</f>
        <v>166336</v>
      </c>
      <c r="G16" s="125">
        <f t="shared" si="0"/>
        <v>163435</v>
      </c>
      <c r="H16" s="125">
        <f t="shared" si="0"/>
        <v>158503</v>
      </c>
      <c r="I16" s="125">
        <f t="shared" si="0"/>
        <v>153996</v>
      </c>
      <c r="J16" s="125">
        <f t="shared" si="0"/>
        <v>162758</v>
      </c>
      <c r="K16" s="125">
        <f t="shared" si="0"/>
        <v>171350</v>
      </c>
      <c r="L16" s="126">
        <f>SUM(L6:L15)</f>
        <v>146872</v>
      </c>
      <c r="M16" s="126">
        <v>140291</v>
      </c>
      <c r="N16" s="122">
        <f aca="true" t="shared" si="1" ref="N16:S16">SUM(N6:N15)</f>
        <v>135156</v>
      </c>
      <c r="O16" s="171">
        <f t="shared" si="1"/>
        <v>144657</v>
      </c>
      <c r="P16" s="171">
        <f t="shared" si="1"/>
        <v>132341</v>
      </c>
      <c r="Q16" s="171">
        <f t="shared" si="1"/>
        <v>116821</v>
      </c>
      <c r="R16" s="171">
        <f t="shared" si="1"/>
        <v>122601</v>
      </c>
      <c r="S16" s="171">
        <f t="shared" si="1"/>
        <v>128745</v>
      </c>
      <c r="T16" s="171">
        <f>SUM(T6:T15)</f>
        <v>135608</v>
      </c>
      <c r="U16" s="171">
        <f>SUM(U6:U15)</f>
        <v>123110</v>
      </c>
      <c r="V16" s="171">
        <f>SUM(V6:V15)</f>
        <v>116069</v>
      </c>
      <c r="W16" s="171">
        <f>SUM(W6:W15)</f>
        <v>106682</v>
      </c>
      <c r="X16" s="171">
        <f>SUM(X6:X15)</f>
        <v>111113</v>
      </c>
    </row>
    <row r="17" spans="1:24" s="37" customFormat="1" ht="19.5" customHeight="1">
      <c r="A17" s="45" t="s">
        <v>147</v>
      </c>
      <c r="B17" s="46"/>
      <c r="C17" s="47"/>
      <c r="D17" s="20">
        <v>303</v>
      </c>
      <c r="E17" s="20">
        <v>260</v>
      </c>
      <c r="F17" s="20">
        <v>144</v>
      </c>
      <c r="G17" s="20">
        <v>121</v>
      </c>
      <c r="H17" s="20">
        <v>109</v>
      </c>
      <c r="I17" s="20">
        <v>121</v>
      </c>
      <c r="J17" s="20">
        <v>134</v>
      </c>
      <c r="K17" s="90">
        <v>177</v>
      </c>
      <c r="L17" s="6">
        <v>248</v>
      </c>
      <c r="M17" s="20">
        <v>353</v>
      </c>
      <c r="N17" s="45">
        <v>576</v>
      </c>
      <c r="O17" s="169">
        <v>570</v>
      </c>
      <c r="P17" s="169">
        <v>339</v>
      </c>
      <c r="Q17" s="20">
        <v>382</v>
      </c>
      <c r="R17" s="20">
        <v>214</v>
      </c>
      <c r="S17" s="20">
        <v>130</v>
      </c>
      <c r="T17" s="20">
        <v>170</v>
      </c>
      <c r="U17" s="20">
        <v>138</v>
      </c>
      <c r="V17" s="20">
        <v>148</v>
      </c>
      <c r="W17" s="20">
        <v>179</v>
      </c>
      <c r="X17" s="20">
        <v>222</v>
      </c>
    </row>
    <row r="18" spans="1:24" s="33" customFormat="1" ht="19.5" customHeight="1">
      <c r="A18" s="38" t="s">
        <v>11</v>
      </c>
      <c r="B18" s="39"/>
      <c r="C18" s="40"/>
      <c r="D18" s="6">
        <v>2158</v>
      </c>
      <c r="E18" s="6">
        <v>2117</v>
      </c>
      <c r="F18" s="6">
        <v>2145</v>
      </c>
      <c r="G18" s="6">
        <v>2752</v>
      </c>
      <c r="H18" s="6">
        <v>2937</v>
      </c>
      <c r="I18" s="6">
        <v>2888</v>
      </c>
      <c r="J18" s="6">
        <v>2909</v>
      </c>
      <c r="K18" s="90">
        <v>2914</v>
      </c>
      <c r="L18" s="6">
        <v>2567</v>
      </c>
      <c r="M18" s="6">
        <v>2380</v>
      </c>
      <c r="N18" s="45">
        <v>1918</v>
      </c>
      <c r="O18" s="169">
        <v>1478</v>
      </c>
      <c r="P18" s="169">
        <v>1169</v>
      </c>
      <c r="Q18" s="6">
        <v>1034</v>
      </c>
      <c r="R18" s="6">
        <v>938</v>
      </c>
      <c r="S18" s="6">
        <v>954</v>
      </c>
      <c r="T18" s="6">
        <v>1099</v>
      </c>
      <c r="U18" s="6">
        <v>1004</v>
      </c>
      <c r="V18" s="6">
        <v>894</v>
      </c>
      <c r="W18" s="6">
        <v>900</v>
      </c>
      <c r="X18" s="6">
        <v>980</v>
      </c>
    </row>
    <row r="19" spans="1:24" s="33" customFormat="1" ht="19.5" customHeight="1">
      <c r="A19" s="38" t="s">
        <v>197</v>
      </c>
      <c r="B19" s="39"/>
      <c r="C19" s="40"/>
      <c r="D19" s="6">
        <v>593</v>
      </c>
      <c r="E19" s="6">
        <v>575</v>
      </c>
      <c r="F19" s="6">
        <v>467</v>
      </c>
      <c r="G19" s="6">
        <v>408</v>
      </c>
      <c r="H19" s="6">
        <v>312</v>
      </c>
      <c r="I19" s="6">
        <v>314</v>
      </c>
      <c r="J19" s="6">
        <v>441</v>
      </c>
      <c r="K19" s="90">
        <v>450</v>
      </c>
      <c r="L19" s="6">
        <v>495</v>
      </c>
      <c r="M19" s="6">
        <v>302</v>
      </c>
      <c r="N19" s="45">
        <v>325</v>
      </c>
      <c r="O19" s="169">
        <v>215</v>
      </c>
      <c r="P19" s="169">
        <v>134</v>
      </c>
      <c r="Q19" s="6">
        <v>187</v>
      </c>
      <c r="R19" s="6">
        <v>216</v>
      </c>
      <c r="S19" s="6">
        <v>181</v>
      </c>
      <c r="T19" s="6">
        <v>149</v>
      </c>
      <c r="U19" s="6">
        <v>154</v>
      </c>
      <c r="V19" s="6">
        <v>122</v>
      </c>
      <c r="W19" s="6">
        <v>57</v>
      </c>
      <c r="X19" s="6">
        <v>77</v>
      </c>
    </row>
    <row r="20" spans="1:24" s="33" customFormat="1" ht="19.5" customHeight="1">
      <c r="A20" s="38" t="s">
        <v>13</v>
      </c>
      <c r="B20" s="39"/>
      <c r="C20" s="40"/>
      <c r="D20" s="6">
        <v>1990</v>
      </c>
      <c r="E20" s="6">
        <v>2553</v>
      </c>
      <c r="F20" s="6">
        <v>2768</v>
      </c>
      <c r="G20" s="6">
        <v>3219</v>
      </c>
      <c r="H20" s="6">
        <v>3796</v>
      </c>
      <c r="I20" s="6">
        <v>3457</v>
      </c>
      <c r="J20" s="6">
        <v>2886</v>
      </c>
      <c r="K20" s="90">
        <v>2248</v>
      </c>
      <c r="L20" s="6">
        <v>2638</v>
      </c>
      <c r="M20" s="6">
        <v>2946</v>
      </c>
      <c r="N20" s="45">
        <v>2904</v>
      </c>
      <c r="O20" s="169">
        <v>2375</v>
      </c>
      <c r="P20" s="169">
        <v>1557</v>
      </c>
      <c r="Q20" s="6">
        <v>1609</v>
      </c>
      <c r="R20" s="6">
        <v>1609</v>
      </c>
      <c r="S20" s="6">
        <v>1302</v>
      </c>
      <c r="T20" s="6">
        <v>1478</v>
      </c>
      <c r="U20" s="6">
        <v>1304</v>
      </c>
      <c r="V20" s="6">
        <v>1142</v>
      </c>
      <c r="W20" s="6">
        <v>1575</v>
      </c>
      <c r="X20" s="6">
        <v>1609</v>
      </c>
    </row>
    <row r="21" spans="1:24" s="33" customFormat="1" ht="19.5" customHeight="1">
      <c r="A21" s="38" t="s">
        <v>14</v>
      </c>
      <c r="B21" s="39"/>
      <c r="C21" s="40"/>
      <c r="D21" s="6">
        <v>661</v>
      </c>
      <c r="E21" s="6">
        <v>1369</v>
      </c>
      <c r="F21" s="6">
        <v>1523</v>
      </c>
      <c r="G21" s="6">
        <v>1907</v>
      </c>
      <c r="H21" s="6">
        <v>2128</v>
      </c>
      <c r="I21" s="6">
        <v>1860</v>
      </c>
      <c r="J21" s="6">
        <v>537</v>
      </c>
      <c r="K21" s="90">
        <v>974</v>
      </c>
      <c r="L21" s="6">
        <v>1408</v>
      </c>
      <c r="M21" s="6">
        <v>1672</v>
      </c>
      <c r="N21" s="45">
        <v>1366</v>
      </c>
      <c r="O21" s="169">
        <v>1727</v>
      </c>
      <c r="P21" s="169">
        <v>1662</v>
      </c>
      <c r="Q21" s="6">
        <v>1618</v>
      </c>
      <c r="R21" s="6">
        <v>1727</v>
      </c>
      <c r="S21" s="6">
        <v>1448</v>
      </c>
      <c r="T21" s="6">
        <v>1469</v>
      </c>
      <c r="U21" s="6">
        <v>1387</v>
      </c>
      <c r="V21" s="6">
        <v>1346</v>
      </c>
      <c r="W21" s="6">
        <v>1494</v>
      </c>
      <c r="X21" s="6">
        <v>1423</v>
      </c>
    </row>
    <row r="22" spans="1:24" s="33" customFormat="1" ht="19.5" customHeight="1">
      <c r="A22" s="191" t="s">
        <v>198</v>
      </c>
      <c r="B22" s="39"/>
      <c r="C22" s="40"/>
      <c r="D22" s="6">
        <v>3389</v>
      </c>
      <c r="E22" s="6">
        <v>2871</v>
      </c>
      <c r="F22" s="6">
        <v>2809</v>
      </c>
      <c r="G22" s="6">
        <v>3105</v>
      </c>
      <c r="H22" s="6">
        <v>2665</v>
      </c>
      <c r="I22" s="6">
        <v>2469</v>
      </c>
      <c r="J22" s="6">
        <v>2383</v>
      </c>
      <c r="K22" s="90">
        <v>2221</v>
      </c>
      <c r="L22" s="6">
        <v>2929</v>
      </c>
      <c r="M22" s="6">
        <v>3707</v>
      </c>
      <c r="N22" s="45">
        <v>4047</v>
      </c>
      <c r="O22" s="169">
        <v>3460</v>
      </c>
      <c r="P22" s="169">
        <v>2487</v>
      </c>
      <c r="Q22" s="6">
        <v>1951</v>
      </c>
      <c r="R22" s="6">
        <v>1387</v>
      </c>
      <c r="S22" s="6">
        <v>1500</v>
      </c>
      <c r="T22" s="6">
        <v>1812</v>
      </c>
      <c r="U22" s="6">
        <v>1495</v>
      </c>
      <c r="V22" s="6">
        <v>2025</v>
      </c>
      <c r="W22" s="6">
        <v>2205</v>
      </c>
      <c r="X22" s="6">
        <v>2115</v>
      </c>
    </row>
    <row r="23" spans="1:24" s="33" customFormat="1" ht="19.5" customHeight="1">
      <c r="A23" s="38" t="s">
        <v>47</v>
      </c>
      <c r="B23" s="39"/>
      <c r="C23" s="40"/>
      <c r="D23" s="6">
        <v>242</v>
      </c>
      <c r="E23" s="6">
        <v>382</v>
      </c>
      <c r="F23" s="6">
        <v>370</v>
      </c>
      <c r="G23" s="6">
        <v>351</v>
      </c>
      <c r="H23" s="6">
        <v>174</v>
      </c>
      <c r="I23" s="6">
        <v>54</v>
      </c>
      <c r="J23" s="6">
        <v>130</v>
      </c>
      <c r="K23" s="90">
        <v>146</v>
      </c>
      <c r="L23" s="6">
        <v>434</v>
      </c>
      <c r="M23" s="6">
        <v>447</v>
      </c>
      <c r="N23" s="45">
        <v>595</v>
      </c>
      <c r="O23" s="169">
        <v>611</v>
      </c>
      <c r="P23" s="169">
        <v>578</v>
      </c>
      <c r="Q23" s="6">
        <v>310</v>
      </c>
      <c r="R23" s="6">
        <v>420</v>
      </c>
      <c r="S23" s="6">
        <v>455</v>
      </c>
      <c r="T23" s="6">
        <v>454</v>
      </c>
      <c r="U23" s="6">
        <v>416</v>
      </c>
      <c r="V23" s="6">
        <v>475</v>
      </c>
      <c r="W23" s="6">
        <v>372</v>
      </c>
      <c r="X23" s="6">
        <v>537</v>
      </c>
    </row>
    <row r="24" spans="1:24" s="33" customFormat="1" ht="19.5" customHeight="1">
      <c r="A24" s="38" t="s">
        <v>17</v>
      </c>
      <c r="B24" s="39"/>
      <c r="C24" s="40"/>
      <c r="D24" s="6">
        <v>10681</v>
      </c>
      <c r="E24" s="6">
        <v>11104</v>
      </c>
      <c r="F24" s="6">
        <v>10570</v>
      </c>
      <c r="G24" s="6">
        <v>9936</v>
      </c>
      <c r="H24" s="6">
        <v>8283</v>
      </c>
      <c r="I24" s="6">
        <v>6467</v>
      </c>
      <c r="J24" s="6">
        <v>8112</v>
      </c>
      <c r="K24" s="90">
        <v>10142</v>
      </c>
      <c r="L24" s="6">
        <v>9712</v>
      </c>
      <c r="M24" s="6">
        <v>9841</v>
      </c>
      <c r="N24" s="45">
        <v>9464</v>
      </c>
      <c r="O24" s="169">
        <v>6927</v>
      </c>
      <c r="P24" s="169">
        <v>7098</v>
      </c>
      <c r="Q24" s="6">
        <v>6950</v>
      </c>
      <c r="R24" s="6">
        <v>6167</v>
      </c>
      <c r="S24" s="6">
        <v>7134</v>
      </c>
      <c r="T24" s="6">
        <v>6761</v>
      </c>
      <c r="U24" s="6">
        <v>6154</v>
      </c>
      <c r="V24" s="6">
        <v>5308</v>
      </c>
      <c r="W24" s="6">
        <v>4720</v>
      </c>
      <c r="X24" s="6">
        <v>4684</v>
      </c>
    </row>
    <row r="25" spans="1:24" s="33" customFormat="1" ht="19.5" customHeight="1">
      <c r="A25" s="38" t="s">
        <v>48</v>
      </c>
      <c r="B25" s="39"/>
      <c r="C25" s="40"/>
      <c r="D25" s="6">
        <v>6425</v>
      </c>
      <c r="E25" s="6">
        <v>5609</v>
      </c>
      <c r="F25" s="6">
        <v>3831</v>
      </c>
      <c r="G25" s="6">
        <v>2813</v>
      </c>
      <c r="H25" s="6">
        <v>3434</v>
      </c>
      <c r="I25" s="6">
        <v>4963</v>
      </c>
      <c r="J25" s="6">
        <v>6952</v>
      </c>
      <c r="K25" s="90">
        <v>7445</v>
      </c>
      <c r="L25" s="6">
        <v>7267</v>
      </c>
      <c r="M25" s="6">
        <v>5432</v>
      </c>
      <c r="N25" s="45">
        <v>3843</v>
      </c>
      <c r="O25" s="169">
        <v>4413</v>
      </c>
      <c r="P25" s="169">
        <v>4612</v>
      </c>
      <c r="Q25" s="6">
        <v>4658</v>
      </c>
      <c r="R25" s="6">
        <v>5070</v>
      </c>
      <c r="S25" s="6">
        <v>5512</v>
      </c>
      <c r="T25" s="6">
        <v>4309</v>
      </c>
      <c r="U25" s="6">
        <v>3828</v>
      </c>
      <c r="V25" s="6">
        <v>3731</v>
      </c>
      <c r="W25" s="6">
        <v>4235</v>
      </c>
      <c r="X25" s="6">
        <v>4171</v>
      </c>
    </row>
    <row r="26" spans="1:24" s="33" customFormat="1" ht="19.5" customHeight="1">
      <c r="A26" s="38" t="s">
        <v>49</v>
      </c>
      <c r="B26" s="39"/>
      <c r="C26" s="40"/>
      <c r="D26" s="6">
        <v>8880</v>
      </c>
      <c r="E26" s="6">
        <v>10727</v>
      </c>
      <c r="F26" s="6">
        <v>10153</v>
      </c>
      <c r="G26" s="6">
        <v>5704</v>
      </c>
      <c r="H26" s="6">
        <v>4932</v>
      </c>
      <c r="I26" s="6">
        <v>3820</v>
      </c>
      <c r="J26" s="6">
        <v>4365</v>
      </c>
      <c r="K26" s="90">
        <v>7460</v>
      </c>
      <c r="L26" s="6">
        <v>8828</v>
      </c>
      <c r="M26" s="6">
        <v>8167</v>
      </c>
      <c r="N26" s="45">
        <v>7974</v>
      </c>
      <c r="O26" s="169">
        <v>6830</v>
      </c>
      <c r="P26" s="169">
        <v>8895</v>
      </c>
      <c r="Q26" s="6">
        <v>7023</v>
      </c>
      <c r="R26" s="6">
        <v>7665</v>
      </c>
      <c r="S26" s="6">
        <v>8615</v>
      </c>
      <c r="T26" s="6">
        <v>8099</v>
      </c>
      <c r="U26" s="6">
        <v>8431</v>
      </c>
      <c r="V26" s="6">
        <v>7792</v>
      </c>
      <c r="W26" s="6">
        <v>8160</v>
      </c>
      <c r="X26" s="6">
        <v>7686</v>
      </c>
    </row>
    <row r="27" spans="1:24" s="33" customFormat="1" ht="19.5" customHeight="1">
      <c r="A27" s="38" t="s">
        <v>19</v>
      </c>
      <c r="B27" s="39"/>
      <c r="C27" s="40"/>
      <c r="D27" s="6">
        <v>506</v>
      </c>
      <c r="E27" s="6">
        <v>369</v>
      </c>
      <c r="F27" s="6">
        <v>574</v>
      </c>
      <c r="G27" s="6">
        <v>767</v>
      </c>
      <c r="H27" s="6">
        <v>835</v>
      </c>
      <c r="I27" s="6">
        <v>712</v>
      </c>
      <c r="J27" s="6">
        <v>660</v>
      </c>
      <c r="K27" s="90">
        <v>533</v>
      </c>
      <c r="L27" s="6">
        <v>506</v>
      </c>
      <c r="M27" s="6">
        <v>554</v>
      </c>
      <c r="N27" s="45">
        <v>799</v>
      </c>
      <c r="O27" s="169">
        <v>1024</v>
      </c>
      <c r="P27" s="169">
        <v>1179</v>
      </c>
      <c r="Q27" s="6">
        <v>1312</v>
      </c>
      <c r="R27" s="6">
        <v>949</v>
      </c>
      <c r="S27" s="6">
        <v>949</v>
      </c>
      <c r="T27" s="6">
        <v>645</v>
      </c>
      <c r="U27" s="6">
        <v>627</v>
      </c>
      <c r="V27" s="6">
        <v>126</v>
      </c>
      <c r="W27" s="6">
        <v>401</v>
      </c>
      <c r="X27" s="6">
        <v>410</v>
      </c>
    </row>
    <row r="28" spans="1:24" s="55" customFormat="1" ht="19.5" customHeight="1">
      <c r="A28" s="122" t="s">
        <v>20</v>
      </c>
      <c r="B28" s="123"/>
      <c r="C28" s="124"/>
      <c r="D28" s="125">
        <v>35828</v>
      </c>
      <c r="E28" s="125">
        <v>37936</v>
      </c>
      <c r="F28" s="125">
        <v>35354</v>
      </c>
      <c r="G28" s="125">
        <v>31083</v>
      </c>
      <c r="H28" s="125">
        <f>SUM(H17:H27)</f>
        <v>29605</v>
      </c>
      <c r="I28" s="125">
        <f>SUM(I17:I27)</f>
        <v>27125</v>
      </c>
      <c r="J28" s="125">
        <f>SUM(J17:J27)</f>
        <v>29509</v>
      </c>
      <c r="K28" s="125">
        <f>SUM(K17:K27)</f>
        <v>34710</v>
      </c>
      <c r="L28" s="125">
        <f>SUM(L17:L27)</f>
        <v>37032</v>
      </c>
      <c r="M28" s="125">
        <v>35801</v>
      </c>
      <c r="N28" s="122">
        <f aca="true" t="shared" si="2" ref="N28:S28">SUM(N17:N27)</f>
        <v>33811</v>
      </c>
      <c r="O28" s="122">
        <f t="shared" si="2"/>
        <v>29630</v>
      </c>
      <c r="P28" s="122">
        <f t="shared" si="2"/>
        <v>29710</v>
      </c>
      <c r="Q28" s="125">
        <f t="shared" si="2"/>
        <v>27034</v>
      </c>
      <c r="R28" s="125">
        <f t="shared" si="2"/>
        <v>26362</v>
      </c>
      <c r="S28" s="125">
        <f t="shared" si="2"/>
        <v>28180</v>
      </c>
      <c r="T28" s="125">
        <f>SUM(T17:T27)</f>
        <v>26445</v>
      </c>
      <c r="U28" s="125">
        <f>SUM(U17:U27)</f>
        <v>24938</v>
      </c>
      <c r="V28" s="125">
        <f>SUM(V17:V27)</f>
        <v>23109</v>
      </c>
      <c r="W28" s="125">
        <f>SUM(W17:W27)</f>
        <v>24298</v>
      </c>
      <c r="X28" s="125">
        <f>SUM(X17:X27)</f>
        <v>23914</v>
      </c>
    </row>
    <row r="29" spans="1:24" s="37" customFormat="1" ht="19.5" customHeight="1">
      <c r="A29" s="45" t="s">
        <v>50</v>
      </c>
      <c r="B29" s="46"/>
      <c r="C29" s="47"/>
      <c r="D29" s="20">
        <v>1193</v>
      </c>
      <c r="E29" s="20">
        <v>1277</v>
      </c>
      <c r="F29" s="20">
        <v>1264</v>
      </c>
      <c r="G29" s="20">
        <v>1394</v>
      </c>
      <c r="H29" s="20">
        <v>1258</v>
      </c>
      <c r="I29" s="20">
        <v>1047</v>
      </c>
      <c r="J29" s="20">
        <v>997</v>
      </c>
      <c r="K29" s="90">
        <v>956</v>
      </c>
      <c r="L29" s="6">
        <v>1518</v>
      </c>
      <c r="M29" s="20">
        <v>2236</v>
      </c>
      <c r="N29" s="45">
        <v>2338</v>
      </c>
      <c r="O29" s="169">
        <v>1868</v>
      </c>
      <c r="P29" s="169">
        <v>1823</v>
      </c>
      <c r="Q29" s="20">
        <v>2902</v>
      </c>
      <c r="R29" s="20">
        <v>2688</v>
      </c>
      <c r="S29" s="20">
        <v>2450</v>
      </c>
      <c r="T29" s="20">
        <v>2229</v>
      </c>
      <c r="U29" s="20">
        <v>2322</v>
      </c>
      <c r="V29" s="20">
        <v>2507</v>
      </c>
      <c r="W29" s="20">
        <v>2888</v>
      </c>
      <c r="X29" s="20">
        <v>3209</v>
      </c>
    </row>
    <row r="30" spans="1:24" s="33" customFormat="1" ht="19.5" customHeight="1">
      <c r="A30" s="38" t="s">
        <v>51</v>
      </c>
      <c r="B30" s="39"/>
      <c r="C30" s="40"/>
      <c r="D30" s="6">
        <v>378</v>
      </c>
      <c r="E30" s="6">
        <v>488</v>
      </c>
      <c r="F30" s="6">
        <v>361</v>
      </c>
      <c r="G30" s="6">
        <v>297</v>
      </c>
      <c r="H30" s="6">
        <v>300</v>
      </c>
      <c r="I30" s="6">
        <v>211</v>
      </c>
      <c r="J30" s="6">
        <v>193</v>
      </c>
      <c r="K30" s="90">
        <v>167</v>
      </c>
      <c r="L30" s="6">
        <v>168</v>
      </c>
      <c r="M30" s="6">
        <v>161</v>
      </c>
      <c r="N30" s="45">
        <v>180</v>
      </c>
      <c r="O30" s="169">
        <v>59</v>
      </c>
      <c r="P30" s="169"/>
      <c r="Q30" s="6">
        <v>14</v>
      </c>
      <c r="R30" s="6">
        <v>45</v>
      </c>
      <c r="S30" s="6">
        <v>36</v>
      </c>
      <c r="T30" s="6">
        <v>23</v>
      </c>
      <c r="U30" s="6">
        <v>36</v>
      </c>
      <c r="V30" s="6">
        <v>15</v>
      </c>
      <c r="W30" s="6">
        <v>25</v>
      </c>
      <c r="X30" s="6">
        <v>24</v>
      </c>
    </row>
    <row r="31" spans="1:24" s="33" customFormat="1" ht="19.5" customHeight="1">
      <c r="A31" s="48" t="s">
        <v>52</v>
      </c>
      <c r="B31" s="49"/>
      <c r="C31" s="50"/>
      <c r="D31" s="6">
        <v>97</v>
      </c>
      <c r="E31" s="6">
        <v>175</v>
      </c>
      <c r="F31" s="6">
        <v>126</v>
      </c>
      <c r="G31" s="6">
        <v>199</v>
      </c>
      <c r="H31" s="6">
        <v>171</v>
      </c>
      <c r="I31" s="6">
        <v>134</v>
      </c>
      <c r="J31" s="6">
        <v>182</v>
      </c>
      <c r="K31" s="90">
        <v>228</v>
      </c>
      <c r="L31" s="6">
        <v>337</v>
      </c>
      <c r="M31" s="6">
        <v>493</v>
      </c>
      <c r="N31" s="45">
        <v>350</v>
      </c>
      <c r="O31" s="169">
        <v>299</v>
      </c>
      <c r="P31" s="169">
        <v>287</v>
      </c>
      <c r="Q31" s="6">
        <v>281</v>
      </c>
      <c r="R31" s="6">
        <v>328</v>
      </c>
      <c r="S31" s="6">
        <v>287</v>
      </c>
      <c r="T31" s="6">
        <v>251</v>
      </c>
      <c r="U31" s="6">
        <v>163</v>
      </c>
      <c r="V31" s="6">
        <v>217</v>
      </c>
      <c r="W31" s="6">
        <v>251</v>
      </c>
      <c r="X31" s="6">
        <v>339</v>
      </c>
    </row>
    <row r="32" spans="1:24" s="33" customFormat="1" ht="19.5" customHeight="1">
      <c r="A32" s="38" t="s">
        <v>53</v>
      </c>
      <c r="B32" s="39"/>
      <c r="C32" s="40"/>
      <c r="D32" s="6">
        <v>1024</v>
      </c>
      <c r="E32" s="6">
        <v>1437</v>
      </c>
      <c r="F32" s="6">
        <v>1699</v>
      </c>
      <c r="G32" s="6">
        <v>989</v>
      </c>
      <c r="H32" s="6">
        <v>1420</v>
      </c>
      <c r="I32" s="6">
        <v>1343</v>
      </c>
      <c r="J32" s="6">
        <v>1411</v>
      </c>
      <c r="K32" s="90">
        <v>1428</v>
      </c>
      <c r="L32" s="6">
        <v>923</v>
      </c>
      <c r="M32" s="6">
        <v>923</v>
      </c>
      <c r="N32" s="45">
        <v>825</v>
      </c>
      <c r="O32" s="169">
        <v>958</v>
      </c>
      <c r="P32" s="169">
        <v>1016</v>
      </c>
      <c r="Q32" s="6">
        <v>1363</v>
      </c>
      <c r="R32" s="6">
        <v>1354</v>
      </c>
      <c r="S32" s="6">
        <v>1549</v>
      </c>
      <c r="T32" s="6">
        <v>1565</v>
      </c>
      <c r="U32" s="6">
        <v>1806</v>
      </c>
      <c r="V32" s="6">
        <v>2660</v>
      </c>
      <c r="W32" s="6">
        <v>2835</v>
      </c>
      <c r="X32" s="6">
        <v>2616</v>
      </c>
    </row>
    <row r="33" spans="1:24" s="33" customFormat="1" ht="19.5" customHeight="1">
      <c r="A33" s="48" t="s">
        <v>54</v>
      </c>
      <c r="B33" s="39"/>
      <c r="C33" s="40"/>
      <c r="D33" s="6">
        <v>7902</v>
      </c>
      <c r="E33" s="6">
        <v>13855</v>
      </c>
      <c r="F33" s="6">
        <v>10521</v>
      </c>
      <c r="G33" s="6">
        <v>7563</v>
      </c>
      <c r="H33" s="6">
        <v>11280</v>
      </c>
      <c r="I33" s="6">
        <v>8871</v>
      </c>
      <c r="J33" s="6">
        <v>9459</v>
      </c>
      <c r="K33" s="90">
        <v>8528</v>
      </c>
      <c r="L33" s="6">
        <v>4736</v>
      </c>
      <c r="M33" s="6">
        <v>4361</v>
      </c>
      <c r="N33" s="45">
        <v>2881</v>
      </c>
      <c r="O33" s="169">
        <v>2404</v>
      </c>
      <c r="P33" s="169">
        <v>3545</v>
      </c>
      <c r="Q33" s="6">
        <v>4684</v>
      </c>
      <c r="R33" s="6">
        <v>4580</v>
      </c>
      <c r="S33" s="6">
        <v>3434</v>
      </c>
      <c r="T33" s="6">
        <v>3388</v>
      </c>
      <c r="U33" s="6">
        <v>3919</v>
      </c>
      <c r="V33" s="6">
        <v>6161</v>
      </c>
      <c r="W33" s="6">
        <v>6477</v>
      </c>
      <c r="X33" s="6">
        <v>5721</v>
      </c>
    </row>
    <row r="34" spans="1:24" s="33" customFormat="1" ht="19.5" customHeight="1">
      <c r="A34" s="38" t="s">
        <v>55</v>
      </c>
      <c r="B34" s="39"/>
      <c r="C34" s="40"/>
      <c r="D34" s="6">
        <v>2226</v>
      </c>
      <c r="E34" s="6">
        <v>2340</v>
      </c>
      <c r="F34" s="6">
        <v>2627</v>
      </c>
      <c r="G34" s="6">
        <v>1927</v>
      </c>
      <c r="H34" s="6">
        <v>3127</v>
      </c>
      <c r="I34" s="6">
        <v>3940</v>
      </c>
      <c r="J34" s="6">
        <v>4842</v>
      </c>
      <c r="K34" s="90">
        <v>4651</v>
      </c>
      <c r="L34" s="6">
        <v>2648</v>
      </c>
      <c r="M34" s="6">
        <v>2009</v>
      </c>
      <c r="N34" s="45">
        <v>1492</v>
      </c>
      <c r="O34" s="169">
        <v>1727</v>
      </c>
      <c r="P34" s="169">
        <v>1900</v>
      </c>
      <c r="Q34" s="6">
        <v>2154</v>
      </c>
      <c r="R34" s="6">
        <v>1843</v>
      </c>
      <c r="S34" s="6">
        <v>1641</v>
      </c>
      <c r="T34" s="6">
        <v>1346</v>
      </c>
      <c r="U34" s="6">
        <v>1554</v>
      </c>
      <c r="V34" s="6">
        <v>2102</v>
      </c>
      <c r="W34" s="6">
        <v>2192</v>
      </c>
      <c r="X34" s="6">
        <v>1835</v>
      </c>
    </row>
    <row r="35" spans="1:24" s="33" customFormat="1" ht="19.5" customHeight="1">
      <c r="A35" s="38" t="s">
        <v>56</v>
      </c>
      <c r="B35" s="39"/>
      <c r="C35" s="40"/>
      <c r="D35" s="6">
        <v>261</v>
      </c>
      <c r="E35" s="6">
        <v>205</v>
      </c>
      <c r="F35" s="6">
        <v>177</v>
      </c>
      <c r="G35" s="6">
        <v>211</v>
      </c>
      <c r="H35" s="6">
        <v>234</v>
      </c>
      <c r="I35" s="6">
        <v>268</v>
      </c>
      <c r="J35" s="6">
        <v>322</v>
      </c>
      <c r="K35" s="90">
        <v>330</v>
      </c>
      <c r="L35" s="6">
        <v>303</v>
      </c>
      <c r="M35" s="6">
        <v>248</v>
      </c>
      <c r="N35" s="45">
        <v>221</v>
      </c>
      <c r="O35" s="169">
        <v>248</v>
      </c>
      <c r="P35" s="169">
        <v>230</v>
      </c>
      <c r="Q35" s="6">
        <v>421</v>
      </c>
      <c r="R35" s="6">
        <v>355</v>
      </c>
      <c r="S35" s="6">
        <v>351</v>
      </c>
      <c r="T35" s="6">
        <v>345</v>
      </c>
      <c r="U35" s="6">
        <v>346</v>
      </c>
      <c r="V35" s="6">
        <v>367</v>
      </c>
      <c r="W35" s="6">
        <v>496</v>
      </c>
      <c r="X35" s="6">
        <v>443</v>
      </c>
    </row>
    <row r="36" spans="1:24" s="33" customFormat="1" ht="19.5" customHeight="1">
      <c r="A36" s="38" t="s">
        <v>57</v>
      </c>
      <c r="B36" s="39"/>
      <c r="C36" s="40"/>
      <c r="D36" s="6">
        <v>187</v>
      </c>
      <c r="E36" s="6">
        <v>238</v>
      </c>
      <c r="F36" s="6">
        <v>358</v>
      </c>
      <c r="G36" s="6">
        <v>300</v>
      </c>
      <c r="H36" s="6">
        <v>305</v>
      </c>
      <c r="I36" s="6">
        <v>249</v>
      </c>
      <c r="J36" s="6">
        <v>222</v>
      </c>
      <c r="K36" s="90">
        <v>407</v>
      </c>
      <c r="L36" s="6">
        <v>314</v>
      </c>
      <c r="M36" s="6">
        <v>145</v>
      </c>
      <c r="N36" s="45">
        <v>115</v>
      </c>
      <c r="O36" s="169">
        <v>71</v>
      </c>
      <c r="P36" s="169">
        <v>132</v>
      </c>
      <c r="Q36" s="6">
        <v>320</v>
      </c>
      <c r="R36" s="6">
        <v>235</v>
      </c>
      <c r="S36" s="6">
        <v>260</v>
      </c>
      <c r="T36" s="6">
        <v>187</v>
      </c>
      <c r="U36" s="6">
        <v>187</v>
      </c>
      <c r="V36" s="6">
        <v>289</v>
      </c>
      <c r="W36" s="6">
        <v>299</v>
      </c>
      <c r="X36" s="6">
        <v>138</v>
      </c>
    </row>
    <row r="37" spans="1:24" s="55" customFormat="1" ht="19.5" customHeight="1">
      <c r="A37" s="122" t="s">
        <v>29</v>
      </c>
      <c r="B37" s="123"/>
      <c r="C37" s="124"/>
      <c r="D37" s="125">
        <v>13268</v>
      </c>
      <c r="E37" s="125">
        <v>20015</v>
      </c>
      <c r="F37" s="125">
        <v>17133</v>
      </c>
      <c r="G37" s="125">
        <v>12880</v>
      </c>
      <c r="H37" s="125">
        <f>SUM(H29:H36)</f>
        <v>18095</v>
      </c>
      <c r="I37" s="125">
        <f>SUM(I29:I36)</f>
        <v>16063</v>
      </c>
      <c r="J37" s="125">
        <f>SUM(J29:J36)</f>
        <v>17628</v>
      </c>
      <c r="K37" s="125">
        <f>SUM(K29:K36)</f>
        <v>16695</v>
      </c>
      <c r="L37" s="125">
        <f>SUM(L29:L36)</f>
        <v>10947</v>
      </c>
      <c r="M37" s="125">
        <v>10576</v>
      </c>
      <c r="N37" s="122">
        <f aca="true" t="shared" si="3" ref="N37:S37">SUM(N29:N36)</f>
        <v>8402</v>
      </c>
      <c r="O37" s="122">
        <f t="shared" si="3"/>
        <v>7634</v>
      </c>
      <c r="P37" s="122">
        <f t="shared" si="3"/>
        <v>8933</v>
      </c>
      <c r="Q37" s="125">
        <f t="shared" si="3"/>
        <v>12139</v>
      </c>
      <c r="R37" s="125">
        <f t="shared" si="3"/>
        <v>11428</v>
      </c>
      <c r="S37" s="125">
        <f t="shared" si="3"/>
        <v>10008</v>
      </c>
      <c r="T37" s="125">
        <f>SUM(T29:T36)</f>
        <v>9334</v>
      </c>
      <c r="U37" s="125">
        <f>SUM(U29:U36)</f>
        <v>10333</v>
      </c>
      <c r="V37" s="125">
        <f>SUM(V29:V36)</f>
        <v>14318</v>
      </c>
      <c r="W37" s="125">
        <f>SUM(W29:W36)</f>
        <v>15463</v>
      </c>
      <c r="X37" s="125">
        <f>SUM(X29:X36)</f>
        <v>14325</v>
      </c>
    </row>
    <row r="38" spans="1:24" s="37" customFormat="1" ht="19.5" customHeight="1">
      <c r="A38" s="45" t="s">
        <v>58</v>
      </c>
      <c r="B38" s="46"/>
      <c r="C38" s="47"/>
      <c r="D38" s="20">
        <v>3754</v>
      </c>
      <c r="E38" s="20">
        <v>7172</v>
      </c>
      <c r="F38" s="20">
        <v>7884</v>
      </c>
      <c r="G38" s="20">
        <v>3966</v>
      </c>
      <c r="H38" s="20">
        <v>1612</v>
      </c>
      <c r="I38" s="20">
        <v>607</v>
      </c>
      <c r="J38" s="20">
        <v>1705</v>
      </c>
      <c r="K38" s="90">
        <v>1875</v>
      </c>
      <c r="L38" s="6">
        <v>1214</v>
      </c>
      <c r="M38" s="20">
        <v>1242</v>
      </c>
      <c r="N38" s="45">
        <v>325</v>
      </c>
      <c r="O38" s="168">
        <v>317</v>
      </c>
      <c r="P38" s="168">
        <v>479</v>
      </c>
      <c r="Q38" s="20">
        <v>795</v>
      </c>
      <c r="R38" s="20">
        <v>722</v>
      </c>
      <c r="S38" s="20">
        <v>890</v>
      </c>
      <c r="T38" s="20">
        <v>567</v>
      </c>
      <c r="U38" s="20">
        <v>788</v>
      </c>
      <c r="V38" s="20">
        <v>999</v>
      </c>
      <c r="W38" s="20">
        <v>1194</v>
      </c>
      <c r="X38" s="20">
        <v>1002</v>
      </c>
    </row>
    <row r="39" spans="1:24" s="33" customFormat="1" ht="19.5" customHeight="1">
      <c r="A39" s="335" t="s">
        <v>93</v>
      </c>
      <c r="B39" s="27"/>
      <c r="C39" s="336"/>
      <c r="D39" s="337">
        <v>1130</v>
      </c>
      <c r="E39" s="337">
        <v>994</v>
      </c>
      <c r="F39" s="337">
        <v>373</v>
      </c>
      <c r="G39" s="337">
        <v>449</v>
      </c>
      <c r="H39" s="337">
        <v>160</v>
      </c>
      <c r="I39" s="337">
        <v>373</v>
      </c>
      <c r="J39" s="337">
        <v>801</v>
      </c>
      <c r="K39" s="338">
        <v>769</v>
      </c>
      <c r="L39" s="337">
        <v>707</v>
      </c>
      <c r="M39" s="328">
        <v>1548</v>
      </c>
      <c r="N39" s="335">
        <v>1196</v>
      </c>
      <c r="O39" s="339">
        <v>790</v>
      </c>
      <c r="P39" s="339">
        <v>483</v>
      </c>
      <c r="Q39" s="337">
        <v>574</v>
      </c>
      <c r="R39" s="337">
        <v>1506</v>
      </c>
      <c r="S39" s="337">
        <v>1657</v>
      </c>
      <c r="T39" s="337">
        <v>1426</v>
      </c>
      <c r="U39" s="337">
        <v>552</v>
      </c>
      <c r="V39" s="337">
        <v>160</v>
      </c>
      <c r="W39" s="337">
        <v>335</v>
      </c>
      <c r="X39" s="337">
        <v>556</v>
      </c>
    </row>
    <row r="40" spans="1:26" s="33" customFormat="1" ht="19.5" customHeight="1">
      <c r="A40" s="20" t="s">
        <v>92</v>
      </c>
      <c r="B40" s="6"/>
      <c r="C40" s="6"/>
      <c r="D40" s="6">
        <v>4799</v>
      </c>
      <c r="E40" s="6">
        <v>4840</v>
      </c>
      <c r="F40" s="6">
        <v>4354</v>
      </c>
      <c r="G40" s="6">
        <v>3126</v>
      </c>
      <c r="H40" s="6">
        <v>3010</v>
      </c>
      <c r="I40" s="6">
        <v>3757</v>
      </c>
      <c r="J40" s="6">
        <v>4940</v>
      </c>
      <c r="K40" s="90">
        <v>5943</v>
      </c>
      <c r="L40" s="6">
        <v>4310</v>
      </c>
      <c r="M40" s="347">
        <v>4193</v>
      </c>
      <c r="N40" s="20">
        <v>5463</v>
      </c>
      <c r="O40" s="168">
        <v>7054</v>
      </c>
      <c r="P40" s="168">
        <v>6704</v>
      </c>
      <c r="Q40" s="6">
        <v>4435</v>
      </c>
      <c r="R40" s="6">
        <v>4149</v>
      </c>
      <c r="S40" s="6">
        <v>4662</v>
      </c>
      <c r="T40" s="6">
        <v>4522</v>
      </c>
      <c r="U40" s="6">
        <v>3283</v>
      </c>
      <c r="V40" s="6">
        <v>1727</v>
      </c>
      <c r="W40" s="6">
        <v>1915</v>
      </c>
      <c r="X40" s="6">
        <v>2046</v>
      </c>
      <c r="Y40" s="6"/>
      <c r="Z40" s="6"/>
    </row>
    <row r="41" spans="1:26" s="33" customFormat="1" ht="19.5" customHeight="1">
      <c r="A41" s="190" t="s">
        <v>200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2218</v>
      </c>
      <c r="Q41" s="6">
        <v>1617</v>
      </c>
      <c r="R41" s="6">
        <v>1609</v>
      </c>
      <c r="S41" s="6">
        <v>1775</v>
      </c>
      <c r="T41" s="6">
        <v>1690</v>
      </c>
      <c r="U41" s="6">
        <f>817+142</f>
        <v>959</v>
      </c>
      <c r="V41" s="6">
        <f>1002+300</f>
        <v>1302</v>
      </c>
      <c r="W41" s="6">
        <f>181+1127</f>
        <v>1308</v>
      </c>
      <c r="X41" s="6">
        <f>108+944</f>
        <v>1052</v>
      </c>
      <c r="Y41" s="6"/>
      <c r="Z41" s="6"/>
    </row>
    <row r="42" spans="1:24" s="33" customFormat="1" ht="19.5" customHeight="1">
      <c r="A42" s="340" t="s">
        <v>33</v>
      </c>
      <c r="B42" s="341"/>
      <c r="C42" s="342"/>
      <c r="D42" s="343"/>
      <c r="E42" s="343"/>
      <c r="F42" s="343"/>
      <c r="G42" s="343"/>
      <c r="H42" s="343"/>
      <c r="I42" s="343"/>
      <c r="J42" s="343"/>
      <c r="K42" s="344"/>
      <c r="L42" s="343"/>
      <c r="M42" s="343"/>
      <c r="N42" s="345"/>
      <c r="O42" s="346"/>
      <c r="P42" s="346"/>
      <c r="Q42" s="343"/>
      <c r="R42" s="343"/>
      <c r="S42" s="343"/>
      <c r="T42" s="343"/>
      <c r="U42" s="343"/>
      <c r="V42" s="343"/>
      <c r="W42" s="343"/>
      <c r="X42" s="343"/>
    </row>
    <row r="43" spans="1:24" s="33" customFormat="1" ht="19.5" customHeight="1">
      <c r="A43" s="38" t="s">
        <v>36</v>
      </c>
      <c r="B43" s="39"/>
      <c r="C43" s="40"/>
      <c r="D43" s="6">
        <v>133</v>
      </c>
      <c r="E43" s="6">
        <v>105</v>
      </c>
      <c r="F43" s="6">
        <v>104</v>
      </c>
      <c r="G43" s="6">
        <v>16</v>
      </c>
      <c r="H43" s="6">
        <v>21</v>
      </c>
      <c r="I43" s="6">
        <v>20</v>
      </c>
      <c r="J43" s="6">
        <v>11</v>
      </c>
      <c r="K43" s="90">
        <v>15</v>
      </c>
      <c r="L43" s="6">
        <v>10</v>
      </c>
      <c r="M43" s="6">
        <v>10</v>
      </c>
      <c r="N43" s="45">
        <v>4</v>
      </c>
      <c r="O43" s="168">
        <v>4</v>
      </c>
      <c r="P43" s="168">
        <v>2</v>
      </c>
      <c r="Q43" s="6">
        <v>5</v>
      </c>
      <c r="R43" s="6">
        <v>3</v>
      </c>
      <c r="S43" s="6">
        <v>4</v>
      </c>
      <c r="T43" s="6">
        <v>8</v>
      </c>
      <c r="U43" s="6">
        <v>5</v>
      </c>
      <c r="V43" s="6">
        <v>5</v>
      </c>
      <c r="W43" s="6">
        <v>9</v>
      </c>
      <c r="X43" s="6">
        <v>21</v>
      </c>
    </row>
    <row r="44" spans="1:24" s="63" customFormat="1" ht="19.5" customHeight="1">
      <c r="A44" s="38" t="s">
        <v>59</v>
      </c>
      <c r="B44" s="39"/>
      <c r="C44" s="40"/>
      <c r="D44" s="6">
        <v>19438</v>
      </c>
      <c r="E44" s="6">
        <v>19510</v>
      </c>
      <c r="F44" s="6">
        <v>20416</v>
      </c>
      <c r="G44" s="6">
        <v>20377</v>
      </c>
      <c r="H44" s="6">
        <v>18689</v>
      </c>
      <c r="I44" s="6">
        <v>17868</v>
      </c>
      <c r="J44" s="6">
        <v>17698</v>
      </c>
      <c r="K44" s="90">
        <v>18929</v>
      </c>
      <c r="L44" s="96">
        <v>16789</v>
      </c>
      <c r="M44" s="6">
        <v>16404</v>
      </c>
      <c r="N44" s="45">
        <v>16765</v>
      </c>
      <c r="O44" s="170">
        <v>16264</v>
      </c>
      <c r="P44" s="170">
        <v>17032</v>
      </c>
      <c r="Q44" s="6">
        <v>16612</v>
      </c>
      <c r="R44" s="6">
        <v>16605</v>
      </c>
      <c r="S44" s="6">
        <v>15866</v>
      </c>
      <c r="T44" s="6">
        <v>15770</v>
      </c>
      <c r="U44" s="6">
        <v>16057</v>
      </c>
      <c r="V44" s="6">
        <v>15707</v>
      </c>
      <c r="W44" s="6">
        <v>15409</v>
      </c>
      <c r="X44" s="6">
        <v>16315</v>
      </c>
    </row>
    <row r="45" spans="1:24" ht="12.75">
      <c r="A45" s="122" t="s">
        <v>60</v>
      </c>
      <c r="B45" s="123"/>
      <c r="C45" s="124"/>
      <c r="D45" s="125">
        <v>238494</v>
      </c>
      <c r="E45" s="125">
        <v>251176</v>
      </c>
      <c r="F45" s="125">
        <v>252553</v>
      </c>
      <c r="G45" s="125">
        <v>235915</v>
      </c>
      <c r="H45" s="125">
        <v>230337</v>
      </c>
      <c r="I45" s="125">
        <v>220970</v>
      </c>
      <c r="J45" s="125">
        <v>236466</v>
      </c>
      <c r="K45" s="125">
        <v>251471</v>
      </c>
      <c r="L45" s="125">
        <v>219310</v>
      </c>
      <c r="M45" s="125">
        <v>211167</v>
      </c>
      <c r="N45" s="122">
        <v>202192</v>
      </c>
      <c r="O45" s="171">
        <v>208100</v>
      </c>
      <c r="P45" s="171">
        <f aca="true" t="shared" si="4" ref="P45:W45">+P16+P28+P37+P38+P39+P40+P41+P43+P44</f>
        <v>197902</v>
      </c>
      <c r="Q45" s="171">
        <f t="shared" si="4"/>
        <v>180032</v>
      </c>
      <c r="R45" s="171">
        <f t="shared" si="4"/>
        <v>184985</v>
      </c>
      <c r="S45" s="171">
        <f t="shared" si="4"/>
        <v>191787</v>
      </c>
      <c r="T45" s="171">
        <f t="shared" si="4"/>
        <v>195370</v>
      </c>
      <c r="U45" s="171">
        <f t="shared" si="4"/>
        <v>180025</v>
      </c>
      <c r="V45" s="171">
        <f t="shared" si="4"/>
        <v>173396</v>
      </c>
      <c r="W45" s="171">
        <f t="shared" si="4"/>
        <v>166613</v>
      </c>
      <c r="X45" s="171">
        <f>+X16+X28+X37+X38+X39+X40+X41+X43+X44</f>
        <v>170344</v>
      </c>
    </row>
    <row r="47" ht="12.75">
      <c r="U47" s="33"/>
    </row>
  </sheetData>
  <sheetProtection/>
  <mergeCells count="1">
    <mergeCell ref="A2:J3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FF98F"/>
  </sheetPr>
  <dimension ref="A1:Y48"/>
  <sheetViews>
    <sheetView zoomScale="95" zoomScaleNormal="95" zoomScalePageLayoutView="0" workbookViewId="0" topLeftCell="A1">
      <pane xSplit="3" topLeftCell="P1" activePane="topRight" state="frozen"/>
      <selection pane="topLeft" activeCell="A1" sqref="A1"/>
      <selection pane="topRight" activeCell="AB26" sqref="AB26"/>
    </sheetView>
  </sheetViews>
  <sheetFormatPr defaultColWidth="11.421875" defaultRowHeight="12.75"/>
  <cols>
    <col min="1" max="2" width="11.421875" style="78" customWidth="1"/>
    <col min="3" max="3" width="4.140625" style="78" customWidth="1"/>
    <col min="4" max="9" width="11.421875" style="78" hidden="1" customWidth="1"/>
    <col min="10" max="10" width="11.00390625" style="78" bestFit="1" customWidth="1"/>
    <col min="11" max="13" width="11.421875" style="78" customWidth="1"/>
    <col min="14" max="17" width="0" style="78" hidden="1" customWidth="1"/>
    <col min="18" max="16384" width="11.421875" style="78" customWidth="1"/>
  </cols>
  <sheetData>
    <row r="1" spans="1:9" ht="16.5" customHeight="1">
      <c r="A1" s="107" t="s">
        <v>83</v>
      </c>
      <c r="B1" s="108"/>
      <c r="C1" s="108"/>
      <c r="D1" s="108"/>
      <c r="E1" s="1"/>
      <c r="F1" s="1"/>
      <c r="G1" s="1"/>
      <c r="H1" s="1"/>
      <c r="I1" s="1"/>
    </row>
    <row r="2" spans="2:9" ht="16.5" customHeight="1">
      <c r="B2" s="64"/>
      <c r="C2" s="64"/>
      <c r="D2" s="64"/>
      <c r="E2" s="64"/>
      <c r="F2" s="64"/>
      <c r="G2" s="64"/>
      <c r="H2" s="64"/>
      <c r="I2" s="64"/>
    </row>
    <row r="3" spans="1:9" ht="16.5" customHeight="1">
      <c r="A3" s="378" t="s">
        <v>41</v>
      </c>
      <c r="B3" s="378"/>
      <c r="C3" s="378"/>
      <c r="D3" s="378"/>
      <c r="E3" s="378"/>
      <c r="F3" s="378"/>
      <c r="G3" s="378"/>
      <c r="H3" s="378"/>
      <c r="I3" s="378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5" s="79" customFormat="1" ht="19.5" customHeight="1">
      <c r="A5" s="109" t="s">
        <v>0</v>
      </c>
      <c r="B5" s="110"/>
      <c r="C5" s="111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12">
        <v>2002</v>
      </c>
      <c r="J5" s="112">
        <v>2003</v>
      </c>
      <c r="K5" s="112">
        <v>2004</v>
      </c>
      <c r="L5" s="112">
        <v>2005</v>
      </c>
      <c r="M5" s="112">
        <v>2006</v>
      </c>
      <c r="N5" s="112">
        <v>2007</v>
      </c>
      <c r="O5" s="112">
        <v>2008</v>
      </c>
      <c r="P5" s="112">
        <v>2009</v>
      </c>
      <c r="Q5" s="112">
        <v>2010</v>
      </c>
      <c r="R5" s="112">
        <v>2011</v>
      </c>
      <c r="S5" s="112">
        <v>2012</v>
      </c>
      <c r="T5" s="112">
        <v>2013</v>
      </c>
      <c r="U5" s="299">
        <v>2014</v>
      </c>
      <c r="V5" s="299">
        <v>2015</v>
      </c>
      <c r="W5" s="299">
        <v>2016</v>
      </c>
      <c r="X5" s="356">
        <v>2017</v>
      </c>
      <c r="Y5" s="356">
        <v>2018</v>
      </c>
    </row>
    <row r="6" spans="1:25" s="84" customFormat="1" ht="19.5" customHeight="1">
      <c r="A6" s="80" t="s">
        <v>1</v>
      </c>
      <c r="B6" s="81"/>
      <c r="C6" s="82"/>
      <c r="D6" s="83">
        <v>38309</v>
      </c>
      <c r="E6" s="83">
        <v>32366</v>
      </c>
      <c r="F6" s="83">
        <v>36647</v>
      </c>
      <c r="G6" s="83">
        <v>38770</v>
      </c>
      <c r="H6" s="83">
        <v>37250</v>
      </c>
      <c r="I6" s="83">
        <v>36730</v>
      </c>
      <c r="J6" s="83">
        <v>29230</v>
      </c>
      <c r="K6" s="83">
        <v>32565</v>
      </c>
      <c r="L6" s="83">
        <v>32290</v>
      </c>
      <c r="M6" s="83">
        <v>30515</v>
      </c>
      <c r="N6" s="83">
        <v>27100</v>
      </c>
      <c r="O6" s="83">
        <v>30978</v>
      </c>
      <c r="P6" s="189">
        <v>24567</v>
      </c>
      <c r="Q6" s="189">
        <v>20585</v>
      </c>
      <c r="R6" s="269">
        <v>22755</v>
      </c>
      <c r="S6" s="320">
        <v>27764</v>
      </c>
      <c r="T6" s="320">
        <v>26709</v>
      </c>
      <c r="U6" s="320">
        <v>25251</v>
      </c>
      <c r="V6" s="320">
        <v>28777</v>
      </c>
      <c r="W6" s="320">
        <v>24702</v>
      </c>
      <c r="X6" s="320">
        <v>25067</v>
      </c>
      <c r="Y6" s="320"/>
    </row>
    <row r="7" spans="1:25" s="84" customFormat="1" ht="19.5" customHeight="1">
      <c r="A7" s="80" t="s">
        <v>2</v>
      </c>
      <c r="B7" s="81"/>
      <c r="C7" s="82"/>
      <c r="D7" s="83">
        <v>7842</v>
      </c>
      <c r="E7" s="83">
        <v>8036</v>
      </c>
      <c r="F7" s="83">
        <v>7601</v>
      </c>
      <c r="G7" s="83">
        <v>6734</v>
      </c>
      <c r="H7" s="83">
        <v>6182</v>
      </c>
      <c r="I7" s="83">
        <v>5426</v>
      </c>
      <c r="J7" s="83">
        <v>5757</v>
      </c>
      <c r="K7" s="83">
        <v>5159</v>
      </c>
      <c r="L7" s="83">
        <v>5380</v>
      </c>
      <c r="M7" s="83">
        <v>6465</v>
      </c>
      <c r="N7" s="83">
        <v>6330</v>
      </c>
      <c r="O7" s="83">
        <v>6734</v>
      </c>
      <c r="P7" s="189">
        <v>6531</v>
      </c>
      <c r="Q7" s="189">
        <v>4867</v>
      </c>
      <c r="R7" s="270">
        <v>5387</v>
      </c>
      <c r="S7" s="320">
        <v>4704</v>
      </c>
      <c r="T7" s="320">
        <v>3717</v>
      </c>
      <c r="U7" s="320">
        <v>4654.1900000000005</v>
      </c>
      <c r="V7" s="320">
        <v>8027</v>
      </c>
      <c r="W7" s="320">
        <v>3531</v>
      </c>
      <c r="X7" s="320">
        <v>4361</v>
      </c>
      <c r="Y7" s="320"/>
    </row>
    <row r="8" spans="1:25" s="84" customFormat="1" ht="19.5" customHeight="1">
      <c r="A8" s="80" t="s">
        <v>42</v>
      </c>
      <c r="B8" s="81"/>
      <c r="C8" s="82"/>
      <c r="D8" s="83">
        <v>1577</v>
      </c>
      <c r="E8" s="83">
        <v>1327</v>
      </c>
      <c r="F8" s="83">
        <v>1641</v>
      </c>
      <c r="G8" s="83">
        <v>2758</v>
      </c>
      <c r="H8" s="83">
        <v>2810</v>
      </c>
      <c r="I8" s="83">
        <v>3251</v>
      </c>
      <c r="J8" s="83">
        <v>2191</v>
      </c>
      <c r="K8" s="83">
        <v>2465</v>
      </c>
      <c r="L8" s="83">
        <v>3025</v>
      </c>
      <c r="M8" s="83">
        <v>2766</v>
      </c>
      <c r="N8" s="83">
        <v>2662</v>
      </c>
      <c r="O8" s="83">
        <v>3516</v>
      </c>
      <c r="P8" s="189">
        <v>3425</v>
      </c>
      <c r="Q8" s="189">
        <v>2463</v>
      </c>
      <c r="R8" s="269">
        <v>2346</v>
      </c>
      <c r="S8" s="320">
        <v>2581</v>
      </c>
      <c r="T8" s="320">
        <v>2683</v>
      </c>
      <c r="U8" s="320">
        <v>2443.7</v>
      </c>
      <c r="V8" s="320">
        <v>1836</v>
      </c>
      <c r="W8" s="320">
        <v>2336</v>
      </c>
      <c r="X8" s="320">
        <v>2786</v>
      </c>
      <c r="Y8" s="320"/>
    </row>
    <row r="9" spans="1:25" s="84" customFormat="1" ht="19.5" customHeight="1">
      <c r="A9" s="80" t="s">
        <v>3</v>
      </c>
      <c r="B9" s="81"/>
      <c r="C9" s="82"/>
      <c r="D9" s="83">
        <v>2869</v>
      </c>
      <c r="E9" s="83">
        <v>3267</v>
      </c>
      <c r="F9" s="83">
        <v>2234</v>
      </c>
      <c r="G9" s="83">
        <v>2557</v>
      </c>
      <c r="H9" s="83">
        <v>2433</v>
      </c>
      <c r="I9" s="83">
        <v>2040</v>
      </c>
      <c r="J9" s="83">
        <v>1683</v>
      </c>
      <c r="K9" s="83">
        <v>1620</v>
      </c>
      <c r="L9" s="83">
        <v>1104</v>
      </c>
      <c r="M9" s="83">
        <v>851</v>
      </c>
      <c r="N9" s="83"/>
      <c r="O9" s="83">
        <v>1417</v>
      </c>
      <c r="P9" s="189">
        <v>1800</v>
      </c>
      <c r="Q9" s="189">
        <v>1549</v>
      </c>
      <c r="R9" s="270">
        <v>1351</v>
      </c>
      <c r="S9" s="320">
        <v>1609</v>
      </c>
      <c r="T9" s="320">
        <v>2358</v>
      </c>
      <c r="U9" s="320">
        <v>1996</v>
      </c>
      <c r="V9" s="320">
        <v>2538</v>
      </c>
      <c r="W9" s="320">
        <v>1756</v>
      </c>
      <c r="X9" s="320">
        <v>1755</v>
      </c>
      <c r="Y9" s="320"/>
    </row>
    <row r="10" spans="1:25" s="84" customFormat="1" ht="19.5" customHeight="1">
      <c r="A10" s="80" t="s">
        <v>4</v>
      </c>
      <c r="B10" s="81"/>
      <c r="C10" s="82"/>
      <c r="D10" s="83">
        <v>590</v>
      </c>
      <c r="E10" s="83">
        <v>1196</v>
      </c>
      <c r="F10" s="83">
        <v>2233</v>
      </c>
      <c r="G10" s="83">
        <v>1844</v>
      </c>
      <c r="H10" s="83">
        <v>2372</v>
      </c>
      <c r="I10" s="83">
        <v>1405</v>
      </c>
      <c r="J10" s="83">
        <v>1455</v>
      </c>
      <c r="K10" s="83">
        <v>1657</v>
      </c>
      <c r="L10" s="83">
        <v>1795</v>
      </c>
      <c r="M10" s="83">
        <v>1678</v>
      </c>
      <c r="N10" s="83">
        <v>1582</v>
      </c>
      <c r="O10" s="83">
        <v>1829</v>
      </c>
      <c r="P10" s="189">
        <v>1674</v>
      </c>
      <c r="Q10" s="189">
        <v>987</v>
      </c>
      <c r="R10" s="270">
        <v>1448</v>
      </c>
      <c r="S10" s="320">
        <v>949</v>
      </c>
      <c r="T10" s="320">
        <f>335+314</f>
        <v>649</v>
      </c>
      <c r="U10" s="320">
        <v>423</v>
      </c>
      <c r="V10" s="320">
        <v>822</v>
      </c>
      <c r="W10" s="320">
        <v>273</v>
      </c>
      <c r="X10" s="320">
        <v>270</v>
      </c>
      <c r="Y10" s="320"/>
    </row>
    <row r="11" spans="1:25" s="84" customFormat="1" ht="19.5" customHeight="1">
      <c r="A11" s="80" t="s">
        <v>61</v>
      </c>
      <c r="B11" s="81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189"/>
      <c r="Q11" s="189"/>
      <c r="R11" s="270"/>
      <c r="S11" s="320"/>
      <c r="T11" s="320"/>
      <c r="U11" s="320"/>
      <c r="V11" s="320"/>
      <c r="W11" s="320"/>
      <c r="X11" s="320"/>
      <c r="Y11" s="320"/>
    </row>
    <row r="12" spans="1:25" s="84" customFormat="1" ht="19.5" customHeight="1">
      <c r="A12" s="80" t="s">
        <v>5</v>
      </c>
      <c r="B12" s="81"/>
      <c r="C12" s="82"/>
      <c r="D12" s="83">
        <v>184</v>
      </c>
      <c r="E12" s="83">
        <v>234</v>
      </c>
      <c r="F12" s="83">
        <v>334</v>
      </c>
      <c r="G12" s="83">
        <v>631</v>
      </c>
      <c r="H12" s="83">
        <v>532</v>
      </c>
      <c r="I12" s="83">
        <v>725</v>
      </c>
      <c r="J12" s="83">
        <v>704</v>
      </c>
      <c r="K12" s="83">
        <v>1131</v>
      </c>
      <c r="L12" s="83">
        <v>1165</v>
      </c>
      <c r="M12" s="83">
        <v>843</v>
      </c>
      <c r="N12" s="83">
        <v>622</v>
      </c>
      <c r="O12" s="83">
        <v>724</v>
      </c>
      <c r="P12" s="189">
        <v>862</v>
      </c>
      <c r="Q12" s="189">
        <v>878</v>
      </c>
      <c r="R12" s="269">
        <v>1410</v>
      </c>
      <c r="S12" s="320">
        <v>2300</v>
      </c>
      <c r="T12" s="320">
        <v>1799</v>
      </c>
      <c r="U12" s="320">
        <v>1478.23</v>
      </c>
      <c r="V12" s="320">
        <v>621</v>
      </c>
      <c r="W12" s="320">
        <v>1005</v>
      </c>
      <c r="X12" s="320">
        <v>880</v>
      </c>
      <c r="Y12" s="320"/>
    </row>
    <row r="13" spans="1:25" s="84" customFormat="1" ht="19.5" customHeight="1">
      <c r="A13" s="80" t="s">
        <v>6</v>
      </c>
      <c r="B13" s="81"/>
      <c r="C13" s="82"/>
      <c r="D13" s="83">
        <v>33744</v>
      </c>
      <c r="E13" s="83">
        <v>35619</v>
      </c>
      <c r="F13" s="83">
        <v>32069</v>
      </c>
      <c r="G13" s="83">
        <v>30971</v>
      </c>
      <c r="H13" s="83">
        <v>29865</v>
      </c>
      <c r="I13" s="83">
        <v>24602</v>
      </c>
      <c r="J13" s="83">
        <v>22804</v>
      </c>
      <c r="K13" s="83">
        <v>24801</v>
      </c>
      <c r="L13" s="83">
        <v>21621</v>
      </c>
      <c r="M13" s="83">
        <v>22947</v>
      </c>
      <c r="N13" s="83">
        <v>22454</v>
      </c>
      <c r="O13" s="83">
        <v>23362</v>
      </c>
      <c r="P13" s="189">
        <v>22993</v>
      </c>
      <c r="Q13" s="189">
        <v>18481</v>
      </c>
      <c r="R13" s="270">
        <v>20565</v>
      </c>
      <c r="S13" s="320">
        <v>18778</v>
      </c>
      <c r="T13" s="320">
        <v>16164</v>
      </c>
      <c r="U13" s="320">
        <v>20204.949999999997</v>
      </c>
      <c r="V13" s="320">
        <v>19815</v>
      </c>
      <c r="W13" s="320">
        <v>17545</v>
      </c>
      <c r="X13" s="320">
        <v>17783</v>
      </c>
      <c r="Y13" s="320"/>
    </row>
    <row r="14" spans="1:25" s="84" customFormat="1" ht="19.5" customHeight="1">
      <c r="A14" s="80" t="s">
        <v>7</v>
      </c>
      <c r="B14" s="81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189"/>
      <c r="Q14" s="189"/>
      <c r="R14" s="243"/>
      <c r="S14" s="320"/>
      <c r="T14" s="320"/>
      <c r="U14" s="320"/>
      <c r="V14" s="320"/>
      <c r="W14" s="320"/>
      <c r="X14" s="320"/>
      <c r="Y14" s="320"/>
    </row>
    <row r="15" spans="1:25" s="84" customFormat="1" ht="19.5" customHeight="1">
      <c r="A15" s="80" t="s">
        <v>8</v>
      </c>
      <c r="B15" s="81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177"/>
      <c r="Q15" s="177"/>
      <c r="R15" s="209"/>
      <c r="S15" s="321"/>
      <c r="T15" s="321"/>
      <c r="U15" s="320"/>
      <c r="V15" s="320"/>
      <c r="W15" s="320"/>
      <c r="X15" s="320"/>
      <c r="Y15" s="320"/>
    </row>
    <row r="16" spans="1:25" s="84" customFormat="1" ht="19.5" customHeight="1">
      <c r="A16" s="127" t="s">
        <v>9</v>
      </c>
      <c r="B16" s="128"/>
      <c r="C16" s="129"/>
      <c r="D16" s="130">
        <v>85115</v>
      </c>
      <c r="E16" s="130">
        <v>82045</v>
      </c>
      <c r="F16" s="130">
        <v>82759</v>
      </c>
      <c r="G16" s="130">
        <v>84265</v>
      </c>
      <c r="H16" s="130">
        <v>81444</v>
      </c>
      <c r="I16" s="130">
        <v>74179</v>
      </c>
      <c r="J16" s="130">
        <f aca="true" t="shared" si="0" ref="J16:X16">SUM(J6:J15)</f>
        <v>63824</v>
      </c>
      <c r="K16" s="130">
        <f t="shared" si="0"/>
        <v>69398</v>
      </c>
      <c r="L16" s="130">
        <f t="shared" si="0"/>
        <v>66380</v>
      </c>
      <c r="M16" s="130">
        <f t="shared" si="0"/>
        <v>66065</v>
      </c>
      <c r="N16" s="130">
        <f t="shared" si="0"/>
        <v>60750</v>
      </c>
      <c r="O16" s="130">
        <f t="shared" si="0"/>
        <v>68560</v>
      </c>
      <c r="P16" s="130">
        <f t="shared" si="0"/>
        <v>61852</v>
      </c>
      <c r="Q16" s="130">
        <f t="shared" si="0"/>
        <v>49810</v>
      </c>
      <c r="R16" s="130">
        <f t="shared" si="0"/>
        <v>55262</v>
      </c>
      <c r="S16" s="130">
        <f t="shared" si="0"/>
        <v>58685</v>
      </c>
      <c r="T16" s="130">
        <f t="shared" si="0"/>
        <v>54079</v>
      </c>
      <c r="U16" s="319">
        <f t="shared" si="0"/>
        <v>56451.07</v>
      </c>
      <c r="V16" s="319">
        <f t="shared" si="0"/>
        <v>62436</v>
      </c>
      <c r="W16" s="319">
        <f t="shared" si="0"/>
        <v>51148</v>
      </c>
      <c r="X16" s="319">
        <f t="shared" si="0"/>
        <v>52902</v>
      </c>
      <c r="Y16" s="319"/>
    </row>
    <row r="17" spans="1:25" s="84" customFormat="1" ht="19.5" customHeight="1">
      <c r="A17" s="80" t="s">
        <v>10</v>
      </c>
      <c r="B17" s="81"/>
      <c r="C17" s="82"/>
      <c r="D17" s="83">
        <v>2448</v>
      </c>
      <c r="E17" s="83">
        <v>2494</v>
      </c>
      <c r="F17" s="83">
        <v>2658</v>
      </c>
      <c r="G17" s="83">
        <v>3020</v>
      </c>
      <c r="H17" s="83">
        <v>2923</v>
      </c>
      <c r="I17" s="83">
        <v>3619</v>
      </c>
      <c r="J17" s="83">
        <v>3769</v>
      </c>
      <c r="K17" s="83">
        <v>3491</v>
      </c>
      <c r="L17" s="83">
        <v>2662</v>
      </c>
      <c r="M17" s="174">
        <v>2116</v>
      </c>
      <c r="N17" s="174">
        <v>3255</v>
      </c>
      <c r="O17" s="174">
        <v>4563</v>
      </c>
      <c r="P17" s="174">
        <v>5312</v>
      </c>
      <c r="Q17" s="174">
        <v>2645</v>
      </c>
      <c r="R17" s="271">
        <v>1207</v>
      </c>
      <c r="S17" s="244">
        <v>953</v>
      </c>
      <c r="T17" s="229">
        <v>1408</v>
      </c>
      <c r="U17" s="318">
        <v>2098</v>
      </c>
      <c r="V17" s="322">
        <v>2815</v>
      </c>
      <c r="W17" s="229">
        <v>4262</v>
      </c>
      <c r="X17" s="229">
        <v>4898</v>
      </c>
      <c r="Y17" s="236"/>
    </row>
    <row r="18" spans="1:25" s="84" customFormat="1" ht="19.5" customHeight="1">
      <c r="A18" s="80" t="s">
        <v>11</v>
      </c>
      <c r="B18" s="81"/>
      <c r="C18" s="82"/>
      <c r="D18" s="83">
        <v>475</v>
      </c>
      <c r="E18" s="83">
        <v>293</v>
      </c>
      <c r="F18" s="83">
        <v>318</v>
      </c>
      <c r="G18" s="83">
        <v>552</v>
      </c>
      <c r="H18" s="83">
        <v>655</v>
      </c>
      <c r="I18" s="83">
        <v>895</v>
      </c>
      <c r="J18" s="83">
        <v>889</v>
      </c>
      <c r="K18" s="83">
        <v>859</v>
      </c>
      <c r="L18" s="83">
        <v>740</v>
      </c>
      <c r="M18" s="174">
        <v>648</v>
      </c>
      <c r="N18" s="174">
        <v>449</v>
      </c>
      <c r="O18" s="174">
        <v>350</v>
      </c>
      <c r="P18" s="174">
        <v>253</v>
      </c>
      <c r="Q18" s="174">
        <v>212</v>
      </c>
      <c r="R18" s="271">
        <v>327</v>
      </c>
      <c r="S18" s="244">
        <v>374</v>
      </c>
      <c r="T18" s="229">
        <v>254</v>
      </c>
      <c r="U18" s="318">
        <v>336</v>
      </c>
      <c r="V18" s="322">
        <v>541</v>
      </c>
      <c r="W18" s="229">
        <v>372</v>
      </c>
      <c r="X18" s="229">
        <v>343</v>
      </c>
      <c r="Y18" s="236"/>
    </row>
    <row r="19" spans="1:25" s="84" customFormat="1" ht="19.5" customHeight="1">
      <c r="A19" s="38" t="s">
        <v>197</v>
      </c>
      <c r="B19" s="81"/>
      <c r="C19" s="82"/>
      <c r="D19" s="83">
        <v>5530</v>
      </c>
      <c r="E19" s="83">
        <v>5808</v>
      </c>
      <c r="F19" s="83">
        <v>7065</v>
      </c>
      <c r="G19" s="83">
        <v>7817</v>
      </c>
      <c r="H19" s="83">
        <v>9629</v>
      </c>
      <c r="I19" s="83">
        <v>11136</v>
      </c>
      <c r="J19" s="83">
        <v>10150</v>
      </c>
      <c r="K19" s="83">
        <v>9335</v>
      </c>
      <c r="L19" s="83">
        <v>10286</v>
      </c>
      <c r="M19" s="174">
        <v>10503</v>
      </c>
      <c r="N19" s="174">
        <v>8533</v>
      </c>
      <c r="O19" s="174">
        <v>5962</v>
      </c>
      <c r="P19" s="174">
        <v>6949</v>
      </c>
      <c r="Q19" s="174">
        <v>6890</v>
      </c>
      <c r="R19" s="271">
        <v>7438</v>
      </c>
      <c r="S19" s="244">
        <v>7036</v>
      </c>
      <c r="T19" s="229">
        <v>5937</v>
      </c>
      <c r="U19" s="318">
        <v>5482</v>
      </c>
      <c r="V19" s="322">
        <v>5839</v>
      </c>
      <c r="W19" s="229">
        <v>7009</v>
      </c>
      <c r="X19" s="229">
        <v>7928</v>
      </c>
      <c r="Y19" s="236"/>
    </row>
    <row r="20" spans="1:25" s="84" customFormat="1" ht="19.5" customHeight="1">
      <c r="A20" s="80" t="s">
        <v>13</v>
      </c>
      <c r="B20" s="81"/>
      <c r="C20" s="82"/>
      <c r="D20" s="83">
        <v>15473</v>
      </c>
      <c r="E20" s="83">
        <v>22494</v>
      </c>
      <c r="F20" s="83">
        <v>26033</v>
      </c>
      <c r="G20" s="83">
        <v>27317</v>
      </c>
      <c r="H20" s="83">
        <v>29676</v>
      </c>
      <c r="I20" s="83">
        <v>16073</v>
      </c>
      <c r="J20" s="83">
        <v>21659</v>
      </c>
      <c r="K20" s="83">
        <v>23645</v>
      </c>
      <c r="L20" s="83">
        <v>26105</v>
      </c>
      <c r="M20" s="174">
        <v>26195</v>
      </c>
      <c r="N20" s="174">
        <v>20973</v>
      </c>
      <c r="O20" s="174">
        <v>16676</v>
      </c>
      <c r="P20" s="174">
        <v>21129</v>
      </c>
      <c r="Q20" s="174">
        <v>16857</v>
      </c>
      <c r="R20" s="271">
        <v>15646</v>
      </c>
      <c r="S20" s="244">
        <v>15111</v>
      </c>
      <c r="T20" s="229">
        <v>17919</v>
      </c>
      <c r="U20" s="318">
        <v>17827</v>
      </c>
      <c r="V20" s="322">
        <v>16881</v>
      </c>
      <c r="W20" s="229">
        <v>17771</v>
      </c>
      <c r="X20" s="229">
        <v>17958</v>
      </c>
      <c r="Y20" s="236"/>
    </row>
    <row r="21" spans="1:25" s="84" customFormat="1" ht="19.5" customHeight="1">
      <c r="A21" s="80" t="s">
        <v>14</v>
      </c>
      <c r="B21" s="81"/>
      <c r="C21" s="82"/>
      <c r="D21" s="83">
        <v>392</v>
      </c>
      <c r="E21" s="83">
        <v>602</v>
      </c>
      <c r="F21" s="83">
        <v>1115</v>
      </c>
      <c r="G21" s="83">
        <v>1795</v>
      </c>
      <c r="H21" s="83">
        <v>1906</v>
      </c>
      <c r="I21" s="83">
        <v>1049</v>
      </c>
      <c r="J21" s="83">
        <v>664</v>
      </c>
      <c r="K21" s="83">
        <v>908</v>
      </c>
      <c r="L21" s="83">
        <v>1023</v>
      </c>
      <c r="M21" s="174">
        <v>1398</v>
      </c>
      <c r="N21" s="174">
        <v>1332</v>
      </c>
      <c r="O21" s="174">
        <v>1161</v>
      </c>
      <c r="P21" s="174">
        <v>1302</v>
      </c>
      <c r="Q21" s="174">
        <v>1214</v>
      </c>
      <c r="R21" s="271">
        <v>1000</v>
      </c>
      <c r="S21" s="244">
        <v>784</v>
      </c>
      <c r="T21" s="229">
        <v>774</v>
      </c>
      <c r="U21" s="318">
        <v>697</v>
      </c>
      <c r="V21" s="323">
        <v>761</v>
      </c>
      <c r="W21" s="229">
        <v>786</v>
      </c>
      <c r="X21" s="229">
        <v>979</v>
      </c>
      <c r="Y21" s="236"/>
    </row>
    <row r="22" spans="1:25" s="84" customFormat="1" ht="19.5" customHeight="1">
      <c r="A22" s="191" t="s">
        <v>198</v>
      </c>
      <c r="B22" s="81"/>
      <c r="C22" s="82"/>
      <c r="D22" s="83">
        <v>1457</v>
      </c>
      <c r="E22" s="83">
        <v>1309</v>
      </c>
      <c r="F22" s="83">
        <v>1075</v>
      </c>
      <c r="G22" s="83">
        <v>1628</v>
      </c>
      <c r="H22" s="83">
        <v>1596</v>
      </c>
      <c r="I22" s="83">
        <v>1144</v>
      </c>
      <c r="J22" s="83">
        <v>926</v>
      </c>
      <c r="K22" s="83">
        <v>774</v>
      </c>
      <c r="L22" s="83">
        <v>983</v>
      </c>
      <c r="M22" s="174">
        <v>1138</v>
      </c>
      <c r="N22" s="174">
        <v>1135</v>
      </c>
      <c r="O22" s="174">
        <v>1291</v>
      </c>
      <c r="P22" s="174">
        <v>936</v>
      </c>
      <c r="Q22" s="174">
        <v>345</v>
      </c>
      <c r="R22" s="271">
        <v>233</v>
      </c>
      <c r="S22" s="244">
        <v>257</v>
      </c>
      <c r="T22" s="229">
        <v>263</v>
      </c>
      <c r="U22" s="318">
        <v>225</v>
      </c>
      <c r="V22" s="322">
        <v>676</v>
      </c>
      <c r="W22" s="229">
        <v>514</v>
      </c>
      <c r="X22" s="229">
        <v>414</v>
      </c>
      <c r="Y22" s="236"/>
    </row>
    <row r="23" spans="1:25" s="84" customFormat="1" ht="19.5" customHeight="1">
      <c r="A23" s="193" t="s">
        <v>199</v>
      </c>
      <c r="B23" s="81"/>
      <c r="C23" s="82"/>
      <c r="D23" s="83">
        <v>222</v>
      </c>
      <c r="E23" s="83">
        <v>730</v>
      </c>
      <c r="F23" s="83">
        <v>988</v>
      </c>
      <c r="G23" s="83">
        <v>1813</v>
      </c>
      <c r="H23" s="83">
        <v>2123</v>
      </c>
      <c r="I23" s="83">
        <v>2408</v>
      </c>
      <c r="J23" s="83">
        <v>2864</v>
      </c>
      <c r="K23" s="83">
        <v>3292</v>
      </c>
      <c r="L23" s="83">
        <v>2747</v>
      </c>
      <c r="M23" s="174">
        <v>2869</v>
      </c>
      <c r="N23" s="174">
        <v>3932</v>
      </c>
      <c r="O23" s="174">
        <v>5056</v>
      </c>
      <c r="P23" s="174">
        <v>6167</v>
      </c>
      <c r="Q23" s="174">
        <v>2865</v>
      </c>
      <c r="R23" s="271">
        <v>1356</v>
      </c>
      <c r="S23" s="244">
        <v>2494</v>
      </c>
      <c r="T23" s="229">
        <v>3792</v>
      </c>
      <c r="U23" s="318">
        <v>4232</v>
      </c>
      <c r="V23" s="322">
        <v>4386</v>
      </c>
      <c r="W23" s="229">
        <v>3676</v>
      </c>
      <c r="X23" s="229">
        <v>5911</v>
      </c>
      <c r="Y23" s="236"/>
    </row>
    <row r="24" spans="1:25" s="84" customFormat="1" ht="19.5" customHeight="1">
      <c r="A24" s="80" t="s">
        <v>17</v>
      </c>
      <c r="B24" s="81"/>
      <c r="C24" s="82"/>
      <c r="D24" s="83">
        <v>30639</v>
      </c>
      <c r="E24" s="83">
        <v>38410</v>
      </c>
      <c r="F24" s="83">
        <v>30585</v>
      </c>
      <c r="G24" s="83">
        <v>25970</v>
      </c>
      <c r="H24" s="83">
        <v>27003</v>
      </c>
      <c r="I24" s="83">
        <v>25638</v>
      </c>
      <c r="J24" s="83">
        <v>34870</v>
      </c>
      <c r="K24" s="83">
        <v>36562</v>
      </c>
      <c r="L24" s="83">
        <v>36393</v>
      </c>
      <c r="M24" s="174">
        <v>37558</v>
      </c>
      <c r="N24" s="174">
        <v>30349</v>
      </c>
      <c r="O24" s="174">
        <v>29484</v>
      </c>
      <c r="P24" s="174">
        <v>34530</v>
      </c>
      <c r="Q24" s="174">
        <v>23507</v>
      </c>
      <c r="R24" s="271">
        <v>25947</v>
      </c>
      <c r="S24" s="244">
        <v>34845</v>
      </c>
      <c r="T24" s="229">
        <v>38056</v>
      </c>
      <c r="U24" s="318">
        <v>35581</v>
      </c>
      <c r="V24" s="322">
        <v>26525</v>
      </c>
      <c r="W24" s="229">
        <v>24074</v>
      </c>
      <c r="X24" s="229">
        <v>25956</v>
      </c>
      <c r="Y24" s="236"/>
    </row>
    <row r="25" spans="1:25" s="84" customFormat="1" ht="19.5" customHeight="1">
      <c r="A25" s="80" t="s">
        <v>47</v>
      </c>
      <c r="B25" s="81"/>
      <c r="C25" s="82"/>
      <c r="D25" s="83">
        <v>933</v>
      </c>
      <c r="E25" s="83">
        <v>1681</v>
      </c>
      <c r="F25" s="83">
        <v>1523</v>
      </c>
      <c r="G25" s="83">
        <v>840</v>
      </c>
      <c r="H25" s="83">
        <v>373</v>
      </c>
      <c r="I25" s="83">
        <v>246</v>
      </c>
      <c r="J25" s="83">
        <v>667</v>
      </c>
      <c r="K25" s="83">
        <v>1037</v>
      </c>
      <c r="L25" s="83">
        <v>1438</v>
      </c>
      <c r="M25" s="174">
        <v>1403</v>
      </c>
      <c r="N25" s="174">
        <v>1311</v>
      </c>
      <c r="O25" s="174">
        <v>1004</v>
      </c>
      <c r="P25" s="174">
        <v>828</v>
      </c>
      <c r="Q25" s="174">
        <v>438</v>
      </c>
      <c r="R25" s="271">
        <v>397</v>
      </c>
      <c r="S25" s="244">
        <v>697</v>
      </c>
      <c r="T25" s="229">
        <v>774</v>
      </c>
      <c r="U25" s="318">
        <v>913</v>
      </c>
      <c r="V25" s="322">
        <v>694</v>
      </c>
      <c r="W25" s="229">
        <v>302</v>
      </c>
      <c r="X25" s="229">
        <v>352</v>
      </c>
      <c r="Y25" s="236"/>
    </row>
    <row r="26" spans="1:25" s="84" customFormat="1" ht="19.5" customHeight="1">
      <c r="A26" s="80" t="s">
        <v>18</v>
      </c>
      <c r="B26" s="81"/>
      <c r="C26" s="82"/>
      <c r="D26" s="83">
        <v>3759</v>
      </c>
      <c r="E26" s="83">
        <v>5484</v>
      </c>
      <c r="F26" s="83">
        <v>4104</v>
      </c>
      <c r="G26" s="83">
        <v>2816</v>
      </c>
      <c r="H26" s="83">
        <v>1970</v>
      </c>
      <c r="I26" s="83">
        <v>1596</v>
      </c>
      <c r="J26" s="83">
        <v>2315</v>
      </c>
      <c r="K26" s="83">
        <v>2642</v>
      </c>
      <c r="L26" s="83">
        <v>2612</v>
      </c>
      <c r="M26" s="174">
        <v>2275</v>
      </c>
      <c r="N26" s="174">
        <v>1624</v>
      </c>
      <c r="O26" s="174">
        <v>1481</v>
      </c>
      <c r="P26" s="174">
        <v>1458</v>
      </c>
      <c r="Q26" s="174">
        <v>1314</v>
      </c>
      <c r="R26" s="271">
        <v>1389</v>
      </c>
      <c r="S26" s="244">
        <v>1443</v>
      </c>
      <c r="T26" s="229">
        <v>1283</v>
      </c>
      <c r="U26" s="318">
        <v>1376</v>
      </c>
      <c r="V26" s="322">
        <v>1102</v>
      </c>
      <c r="W26" s="229">
        <v>818</v>
      </c>
      <c r="X26" s="229">
        <v>1740</v>
      </c>
      <c r="Y26" s="236"/>
    </row>
    <row r="27" spans="1:25" s="84" customFormat="1" ht="19.5" customHeight="1">
      <c r="A27" s="80" t="s">
        <v>19</v>
      </c>
      <c r="B27" s="81"/>
      <c r="C27" s="82"/>
      <c r="D27" s="83">
        <v>280</v>
      </c>
      <c r="E27" s="83">
        <v>424</v>
      </c>
      <c r="F27" s="83">
        <v>437</v>
      </c>
      <c r="G27" s="83">
        <v>762</v>
      </c>
      <c r="H27" s="83">
        <v>773</v>
      </c>
      <c r="I27" s="83">
        <v>729</v>
      </c>
      <c r="J27" s="83">
        <v>521</v>
      </c>
      <c r="K27" s="83">
        <f>SUM(165+184+281)</f>
        <v>630</v>
      </c>
      <c r="L27" s="83">
        <v>722</v>
      </c>
      <c r="M27" s="174">
        <v>935</v>
      </c>
      <c r="N27" s="174">
        <v>1307</v>
      </c>
      <c r="O27" s="174">
        <v>1267</v>
      </c>
      <c r="P27" s="174">
        <v>939</v>
      </c>
      <c r="Q27" s="174">
        <v>719</v>
      </c>
      <c r="R27" s="271">
        <v>993</v>
      </c>
      <c r="S27" s="244">
        <v>865</v>
      </c>
      <c r="T27" s="229">
        <f>4+27+16+90+1060+22.5</f>
        <v>1219.5</v>
      </c>
      <c r="U27" s="318">
        <v>1456</v>
      </c>
      <c r="V27" s="322">
        <v>1368</v>
      </c>
      <c r="W27" s="229">
        <v>966</v>
      </c>
      <c r="X27" s="229">
        <v>721</v>
      </c>
      <c r="Y27" s="236"/>
    </row>
    <row r="28" spans="1:25" s="84" customFormat="1" ht="19.5" customHeight="1">
      <c r="A28" s="127" t="s">
        <v>20</v>
      </c>
      <c r="B28" s="128"/>
      <c r="C28" s="129"/>
      <c r="D28" s="130">
        <v>61608</v>
      </c>
      <c r="E28" s="130">
        <v>79729</v>
      </c>
      <c r="F28" s="130">
        <v>75901</v>
      </c>
      <c r="G28" s="130">
        <v>74330</v>
      </c>
      <c r="H28" s="130">
        <v>78627</v>
      </c>
      <c r="I28" s="130">
        <v>64533</v>
      </c>
      <c r="J28" s="130">
        <f aca="true" t="shared" si="1" ref="J28:Q28">SUM(J17:J27)</f>
        <v>79294</v>
      </c>
      <c r="K28" s="130">
        <f t="shared" si="1"/>
        <v>83175</v>
      </c>
      <c r="L28" s="130">
        <f t="shared" si="1"/>
        <v>85711</v>
      </c>
      <c r="M28" s="130">
        <f t="shared" si="1"/>
        <v>87038</v>
      </c>
      <c r="N28" s="130">
        <f t="shared" si="1"/>
        <v>74200</v>
      </c>
      <c r="O28" s="130">
        <f t="shared" si="1"/>
        <v>68295</v>
      </c>
      <c r="P28" s="130">
        <f t="shared" si="1"/>
        <v>79803</v>
      </c>
      <c r="Q28" s="130">
        <f t="shared" si="1"/>
        <v>57006</v>
      </c>
      <c r="R28" s="130">
        <f aca="true" t="shared" si="2" ref="R28:X28">SUM(R17:R27)</f>
        <v>55933</v>
      </c>
      <c r="S28" s="130">
        <f t="shared" si="2"/>
        <v>64859</v>
      </c>
      <c r="T28" s="130">
        <f t="shared" si="2"/>
        <v>71679.5</v>
      </c>
      <c r="U28" s="319">
        <f t="shared" si="2"/>
        <v>70223</v>
      </c>
      <c r="V28" s="311">
        <f t="shared" si="2"/>
        <v>61588</v>
      </c>
      <c r="W28" s="311">
        <f t="shared" si="2"/>
        <v>60550</v>
      </c>
      <c r="X28" s="357">
        <f t="shared" si="2"/>
        <v>67200</v>
      </c>
      <c r="Y28" s="300"/>
    </row>
    <row r="29" spans="1:25" s="84" customFormat="1" ht="19.5" customHeight="1">
      <c r="A29" s="80" t="s">
        <v>21</v>
      </c>
      <c r="B29" s="81"/>
      <c r="C29" s="82"/>
      <c r="D29" s="83">
        <v>552</v>
      </c>
      <c r="E29" s="83">
        <v>677</v>
      </c>
      <c r="F29" s="83">
        <v>823</v>
      </c>
      <c r="G29" s="83">
        <v>912</v>
      </c>
      <c r="H29" s="83">
        <v>435</v>
      </c>
      <c r="I29" s="83">
        <v>387</v>
      </c>
      <c r="J29" s="83">
        <v>503</v>
      </c>
      <c r="K29" s="83">
        <v>438</v>
      </c>
      <c r="L29" s="83">
        <v>327</v>
      </c>
      <c r="M29" s="174">
        <v>424</v>
      </c>
      <c r="N29" s="174">
        <v>403</v>
      </c>
      <c r="O29" s="174">
        <v>524</v>
      </c>
      <c r="P29" s="83">
        <v>362</v>
      </c>
      <c r="Q29" s="83">
        <v>616</v>
      </c>
      <c r="R29" s="243">
        <v>320</v>
      </c>
      <c r="S29" s="245">
        <v>310</v>
      </c>
      <c r="T29" s="192">
        <v>435</v>
      </c>
      <c r="U29" s="317">
        <v>463</v>
      </c>
      <c r="V29" s="192">
        <v>299</v>
      </c>
      <c r="W29" s="192">
        <v>139</v>
      </c>
      <c r="X29" s="192">
        <v>59</v>
      </c>
      <c r="Y29" s="237"/>
    </row>
    <row r="30" spans="1:25" s="84" customFormat="1" ht="19.5" customHeight="1">
      <c r="A30" s="85" t="s">
        <v>22</v>
      </c>
      <c r="B30" s="86"/>
      <c r="C30" s="87"/>
      <c r="D30" s="83">
        <v>2254</v>
      </c>
      <c r="E30" s="83">
        <v>3158</v>
      </c>
      <c r="F30" s="83">
        <v>3383</v>
      </c>
      <c r="G30" s="83">
        <v>3516</v>
      </c>
      <c r="H30" s="83">
        <v>3718</v>
      </c>
      <c r="I30" s="83">
        <v>3466</v>
      </c>
      <c r="J30" s="83">
        <v>3734</v>
      </c>
      <c r="K30" s="83">
        <v>3866</v>
      </c>
      <c r="L30" s="83">
        <v>4757</v>
      </c>
      <c r="M30" s="174">
        <v>5541</v>
      </c>
      <c r="N30" s="174">
        <v>4300</v>
      </c>
      <c r="O30" s="174">
        <v>3889</v>
      </c>
      <c r="P30" s="83">
        <v>3938</v>
      </c>
      <c r="Q30" s="83">
        <v>3779</v>
      </c>
      <c r="R30" s="243">
        <v>3398</v>
      </c>
      <c r="S30" s="245">
        <v>3129</v>
      </c>
      <c r="T30" s="192">
        <v>3699</v>
      </c>
      <c r="U30" s="317">
        <v>2724</v>
      </c>
      <c r="V30" s="192">
        <v>3403</v>
      </c>
      <c r="W30" s="192">
        <v>3619</v>
      </c>
      <c r="X30" s="192">
        <v>3899</v>
      </c>
      <c r="Y30" s="237"/>
    </row>
    <row r="31" spans="1:25" s="84" customFormat="1" ht="19.5" customHeight="1">
      <c r="A31" s="80" t="s">
        <v>23</v>
      </c>
      <c r="B31" s="81"/>
      <c r="C31" s="82"/>
      <c r="D31" s="83"/>
      <c r="E31" s="83"/>
      <c r="F31" s="83"/>
      <c r="G31" s="83">
        <v>2</v>
      </c>
      <c r="H31" s="83">
        <v>2</v>
      </c>
      <c r="I31" s="83">
        <v>0</v>
      </c>
      <c r="J31" s="83">
        <v>0</v>
      </c>
      <c r="K31" s="83">
        <v>0</v>
      </c>
      <c r="L31" s="83">
        <v>0</v>
      </c>
      <c r="M31" s="174">
        <v>0</v>
      </c>
      <c r="N31" s="174">
        <v>0</v>
      </c>
      <c r="O31" s="174">
        <v>0</v>
      </c>
      <c r="P31" s="83">
        <v>5</v>
      </c>
      <c r="Q31" s="83">
        <v>3</v>
      </c>
      <c r="R31" s="243">
        <v>18</v>
      </c>
      <c r="S31" s="245">
        <v>14</v>
      </c>
      <c r="T31" s="192">
        <v>15</v>
      </c>
      <c r="U31" s="317">
        <v>21</v>
      </c>
      <c r="V31" s="192">
        <v>12</v>
      </c>
      <c r="W31" s="192">
        <v>0</v>
      </c>
      <c r="X31" s="192">
        <v>0</v>
      </c>
      <c r="Y31" s="237"/>
    </row>
    <row r="32" spans="1:25" s="84" customFormat="1" ht="19.5" customHeight="1">
      <c r="A32" s="85" t="s">
        <v>24</v>
      </c>
      <c r="B32" s="81"/>
      <c r="C32" s="82"/>
      <c r="D32" s="83">
        <v>7</v>
      </c>
      <c r="E32" s="83">
        <v>6</v>
      </c>
      <c r="F32" s="83">
        <v>4</v>
      </c>
      <c r="G32" s="83">
        <v>0</v>
      </c>
      <c r="H32" s="83">
        <v>0</v>
      </c>
      <c r="I32" s="83">
        <v>0</v>
      </c>
      <c r="J32" s="83">
        <v>0</v>
      </c>
      <c r="K32" s="83">
        <v>25</v>
      </c>
      <c r="L32" s="83">
        <v>0</v>
      </c>
      <c r="M32" s="174">
        <v>12</v>
      </c>
      <c r="N32" s="174">
        <v>7</v>
      </c>
      <c r="O32" s="174">
        <v>0</v>
      </c>
      <c r="P32" s="83">
        <v>0</v>
      </c>
      <c r="Q32" s="83">
        <v>30</v>
      </c>
      <c r="R32" s="243">
        <v>19</v>
      </c>
      <c r="S32" s="245">
        <v>26</v>
      </c>
      <c r="T32" s="192">
        <v>29</v>
      </c>
      <c r="U32" s="317">
        <v>18</v>
      </c>
      <c r="V32" s="192">
        <v>20</v>
      </c>
      <c r="W32" s="192"/>
      <c r="X32" s="192">
        <v>0</v>
      </c>
      <c r="Y32" s="237"/>
    </row>
    <row r="33" spans="1:25" s="84" customFormat="1" ht="19.5" customHeight="1">
      <c r="A33" s="80" t="s">
        <v>25</v>
      </c>
      <c r="B33" s="81"/>
      <c r="C33" s="82"/>
      <c r="D33" s="83">
        <v>51</v>
      </c>
      <c r="E33" s="83">
        <v>86</v>
      </c>
      <c r="F33" s="83">
        <v>34</v>
      </c>
      <c r="G33" s="83">
        <v>87</v>
      </c>
      <c r="H33" s="83">
        <v>291</v>
      </c>
      <c r="I33" s="83">
        <v>445</v>
      </c>
      <c r="J33" s="83">
        <v>256</v>
      </c>
      <c r="K33" s="83">
        <v>172</v>
      </c>
      <c r="L33" s="83">
        <v>294</v>
      </c>
      <c r="M33" s="174">
        <v>342</v>
      </c>
      <c r="N33" s="174">
        <v>63</v>
      </c>
      <c r="O33" s="174">
        <v>61</v>
      </c>
      <c r="P33" s="83">
        <v>147</v>
      </c>
      <c r="Q33" s="83">
        <v>260</v>
      </c>
      <c r="R33" s="243">
        <v>302</v>
      </c>
      <c r="S33" s="245">
        <v>370</v>
      </c>
      <c r="T33" s="192">
        <v>551</v>
      </c>
      <c r="U33" s="317">
        <v>1028</v>
      </c>
      <c r="V33" s="192">
        <v>1311</v>
      </c>
      <c r="W33" s="192"/>
      <c r="X33" s="192">
        <v>1925</v>
      </c>
      <c r="Y33" s="237"/>
    </row>
    <row r="34" spans="1:25" s="84" customFormat="1" ht="19.5" customHeight="1">
      <c r="A34" s="80" t="s">
        <v>26</v>
      </c>
      <c r="B34" s="81"/>
      <c r="C34" s="82"/>
      <c r="D34" s="83">
        <v>14</v>
      </c>
      <c r="E34" s="83">
        <v>68</v>
      </c>
      <c r="F34" s="83">
        <v>87</v>
      </c>
      <c r="G34" s="83">
        <v>22</v>
      </c>
      <c r="H34" s="83">
        <v>98</v>
      </c>
      <c r="I34" s="83">
        <v>460</v>
      </c>
      <c r="J34" s="83">
        <v>625</v>
      </c>
      <c r="K34" s="83">
        <v>647</v>
      </c>
      <c r="L34" s="83">
        <v>188</v>
      </c>
      <c r="M34" s="174">
        <v>77</v>
      </c>
      <c r="N34" s="174">
        <v>128</v>
      </c>
      <c r="O34" s="174">
        <v>151</v>
      </c>
      <c r="P34" s="83">
        <v>108</v>
      </c>
      <c r="Q34" s="83"/>
      <c r="R34" s="243">
        <v>123</v>
      </c>
      <c r="S34" s="245">
        <v>90</v>
      </c>
      <c r="T34" s="192">
        <v>63</v>
      </c>
      <c r="U34" s="317">
        <v>27</v>
      </c>
      <c r="V34" s="192">
        <v>46</v>
      </c>
      <c r="W34" s="192"/>
      <c r="X34" s="192">
        <v>42</v>
      </c>
      <c r="Y34" s="237"/>
    </row>
    <row r="35" spans="1:25" s="84" customFormat="1" ht="19.5" customHeight="1">
      <c r="A35" s="80" t="s">
        <v>27</v>
      </c>
      <c r="B35" s="81"/>
      <c r="C35" s="82"/>
      <c r="D35" s="83">
        <v>11373</v>
      </c>
      <c r="E35" s="83">
        <v>15337</v>
      </c>
      <c r="F35" s="83">
        <v>11113</v>
      </c>
      <c r="G35" s="83">
        <v>7927</v>
      </c>
      <c r="H35" s="83">
        <v>8671</v>
      </c>
      <c r="I35" s="83">
        <v>8952</v>
      </c>
      <c r="J35" s="83">
        <v>6623</v>
      </c>
      <c r="K35" s="83">
        <v>5634</v>
      </c>
      <c r="L35" s="83">
        <v>4541</v>
      </c>
      <c r="M35" s="174">
        <v>3050</v>
      </c>
      <c r="N35" s="174">
        <v>1479</v>
      </c>
      <c r="O35" s="174">
        <v>1207</v>
      </c>
      <c r="P35" s="83"/>
      <c r="Q35" s="83">
        <v>2318</v>
      </c>
      <c r="R35" s="243">
        <v>1362</v>
      </c>
      <c r="S35" s="245">
        <v>923</v>
      </c>
      <c r="T35" s="192">
        <v>1220</v>
      </c>
      <c r="U35" s="317">
        <v>1620</v>
      </c>
      <c r="V35" s="192">
        <v>1736</v>
      </c>
      <c r="W35" s="192"/>
      <c r="X35" s="192">
        <v>2275</v>
      </c>
      <c r="Y35" s="237"/>
    </row>
    <row r="36" spans="1:25" s="84" customFormat="1" ht="19.5" customHeight="1">
      <c r="A36" s="80" t="s">
        <v>28</v>
      </c>
      <c r="B36" s="81"/>
      <c r="C36" s="82"/>
      <c r="D36" s="83">
        <v>42</v>
      </c>
      <c r="E36" s="83">
        <v>55</v>
      </c>
      <c r="F36" s="83">
        <v>179</v>
      </c>
      <c r="G36" s="83">
        <v>173</v>
      </c>
      <c r="H36" s="83">
        <v>2</v>
      </c>
      <c r="I36" s="83">
        <v>13</v>
      </c>
      <c r="J36" s="83">
        <v>56</v>
      </c>
      <c r="K36" s="83">
        <v>69</v>
      </c>
      <c r="L36" s="83">
        <v>100</v>
      </c>
      <c r="M36" s="174">
        <v>124</v>
      </c>
      <c r="N36" s="174">
        <v>98</v>
      </c>
      <c r="O36" s="174"/>
      <c r="P36" s="83">
        <v>100</v>
      </c>
      <c r="Q36" s="83">
        <v>88</v>
      </c>
      <c r="R36" s="243">
        <v>24</v>
      </c>
      <c r="S36" s="83">
        <v>164</v>
      </c>
      <c r="T36" s="192">
        <f>20+30+6+132</f>
        <v>188</v>
      </c>
      <c r="U36" s="317"/>
      <c r="V36" s="192"/>
      <c r="W36" s="192"/>
      <c r="X36" s="192"/>
      <c r="Y36" s="83"/>
    </row>
    <row r="37" spans="1:25" s="84" customFormat="1" ht="19.5" customHeight="1">
      <c r="A37" s="127" t="s">
        <v>29</v>
      </c>
      <c r="B37" s="128"/>
      <c r="C37" s="129"/>
      <c r="D37" s="130">
        <v>14293</v>
      </c>
      <c r="E37" s="130">
        <v>19387</v>
      </c>
      <c r="F37" s="130">
        <v>15623</v>
      </c>
      <c r="G37" s="130">
        <v>12639</v>
      </c>
      <c r="H37" s="130">
        <v>13217</v>
      </c>
      <c r="I37" s="130">
        <v>13663</v>
      </c>
      <c r="J37" s="130">
        <f aca="true" t="shared" si="3" ref="J37:Q37">SUM(J29:J36)</f>
        <v>11797</v>
      </c>
      <c r="K37" s="130">
        <f t="shared" si="3"/>
        <v>10851</v>
      </c>
      <c r="L37" s="130">
        <f t="shared" si="3"/>
        <v>10207</v>
      </c>
      <c r="M37" s="130">
        <f t="shared" si="3"/>
        <v>9570</v>
      </c>
      <c r="N37" s="130">
        <f t="shared" si="3"/>
        <v>6478</v>
      </c>
      <c r="O37" s="130">
        <f t="shared" si="3"/>
        <v>5832</v>
      </c>
      <c r="P37" s="130">
        <f t="shared" si="3"/>
        <v>4660</v>
      </c>
      <c r="Q37" s="130">
        <f t="shared" si="3"/>
        <v>7094</v>
      </c>
      <c r="R37" s="130">
        <f>SUM(R29:R36)</f>
        <v>5566</v>
      </c>
      <c r="S37" s="130">
        <f>SUM(S29:S36)</f>
        <v>5026</v>
      </c>
      <c r="T37" s="130">
        <f>SUM(T29:T36)</f>
        <v>6200</v>
      </c>
      <c r="U37" s="319">
        <f>SUM(U29:U36)</f>
        <v>5901</v>
      </c>
      <c r="V37" s="311">
        <f>SUM(V29:V36)</f>
        <v>6827</v>
      </c>
      <c r="W37" s="311"/>
      <c r="X37" s="357">
        <f>SUM(X29:X36)</f>
        <v>8200</v>
      </c>
      <c r="Y37" s="300"/>
    </row>
    <row r="38" spans="1:25" s="84" customFormat="1" ht="19.5" customHeight="1">
      <c r="A38" s="80" t="s">
        <v>94</v>
      </c>
      <c r="B38" s="81"/>
      <c r="C38" s="82"/>
      <c r="D38" s="83"/>
      <c r="E38" s="83">
        <v>13</v>
      </c>
      <c r="F38" s="83">
        <v>10</v>
      </c>
      <c r="G38" s="83">
        <v>21</v>
      </c>
      <c r="H38" s="83">
        <v>0</v>
      </c>
      <c r="I38" s="83">
        <v>0</v>
      </c>
      <c r="J38" s="83">
        <v>0</v>
      </c>
      <c r="K38" s="83"/>
      <c r="L38" s="83"/>
      <c r="M38" s="83"/>
      <c r="N38" s="83"/>
      <c r="O38" s="83"/>
      <c r="P38" s="83"/>
      <c r="Q38" s="83"/>
      <c r="R38" s="210"/>
      <c r="S38" s="83"/>
      <c r="T38" s="83"/>
      <c r="U38" s="317"/>
      <c r="V38" s="83"/>
      <c r="W38" s="83"/>
      <c r="X38" s="83"/>
      <c r="Y38" s="83"/>
    </row>
    <row r="39" spans="1:25" s="84" customFormat="1" ht="19.5" customHeight="1">
      <c r="A39" s="80" t="s">
        <v>31</v>
      </c>
      <c r="B39" s="81"/>
      <c r="C39" s="82"/>
      <c r="D39" s="83">
        <v>2000</v>
      </c>
      <c r="E39" s="83">
        <v>2950</v>
      </c>
      <c r="F39" s="83">
        <v>5287</v>
      </c>
      <c r="G39" s="83">
        <v>2333</v>
      </c>
      <c r="H39" s="83">
        <v>480</v>
      </c>
      <c r="I39" s="83">
        <v>52</v>
      </c>
      <c r="J39" s="83">
        <v>23</v>
      </c>
      <c r="K39" s="83">
        <v>34</v>
      </c>
      <c r="L39" s="83">
        <v>0</v>
      </c>
      <c r="M39" s="83"/>
      <c r="N39" s="83"/>
      <c r="O39" s="83"/>
      <c r="P39" s="83"/>
      <c r="Q39" s="83"/>
      <c r="R39" s="210"/>
      <c r="S39" s="83"/>
      <c r="T39" s="83"/>
      <c r="U39" s="317"/>
      <c r="V39" s="83"/>
      <c r="W39" s="83"/>
      <c r="X39" s="83"/>
      <c r="Y39" s="83"/>
    </row>
    <row r="40" spans="1:25" s="84" customFormat="1" ht="19.5" customHeight="1">
      <c r="A40" s="45" t="s">
        <v>93</v>
      </c>
      <c r="B40" s="81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210">
        <v>309</v>
      </c>
      <c r="S40" s="83">
        <v>254</v>
      </c>
      <c r="T40" s="83">
        <v>717</v>
      </c>
      <c r="U40" s="317">
        <v>820</v>
      </c>
      <c r="V40" s="83">
        <v>434</v>
      </c>
      <c r="W40" s="83"/>
      <c r="X40" s="83">
        <v>777</v>
      </c>
      <c r="Y40" s="83"/>
    </row>
    <row r="41" spans="1:25" s="84" customFormat="1" ht="19.5" customHeight="1">
      <c r="A41" s="45" t="s">
        <v>92</v>
      </c>
      <c r="B41" s="81"/>
      <c r="C41" s="82"/>
      <c r="D41" s="83">
        <v>1621</v>
      </c>
      <c r="E41" s="83">
        <v>1378</v>
      </c>
      <c r="F41" s="83">
        <v>1621</v>
      </c>
      <c r="G41" s="83">
        <v>727</v>
      </c>
      <c r="H41" s="83">
        <v>450</v>
      </c>
      <c r="I41" s="83">
        <v>573</v>
      </c>
      <c r="J41" s="83">
        <v>777</v>
      </c>
      <c r="K41" s="83">
        <v>796</v>
      </c>
      <c r="L41" s="83"/>
      <c r="M41" s="83"/>
      <c r="N41" s="83"/>
      <c r="O41" s="83"/>
      <c r="P41" s="83">
        <v>358</v>
      </c>
      <c r="Q41" s="83"/>
      <c r="R41" s="210"/>
      <c r="S41" s="83"/>
      <c r="T41" s="83"/>
      <c r="U41" s="317"/>
      <c r="V41" s="83"/>
      <c r="W41" s="83"/>
      <c r="X41" s="83"/>
      <c r="Y41" s="83"/>
    </row>
    <row r="42" spans="1:25" s="84" customFormat="1" ht="19.5" customHeight="1">
      <c r="A42" s="80" t="s">
        <v>33</v>
      </c>
      <c r="B42" s="81"/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210"/>
      <c r="S42" s="83"/>
      <c r="T42" s="83"/>
      <c r="U42" s="317"/>
      <c r="V42" s="83"/>
      <c r="W42" s="83"/>
      <c r="X42" s="83"/>
      <c r="Y42" s="83"/>
    </row>
    <row r="43" spans="1:25" s="84" customFormat="1" ht="19.5" customHeight="1">
      <c r="A43" s="80" t="s">
        <v>34</v>
      </c>
      <c r="B43" s="81"/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210"/>
      <c r="S43" s="83"/>
      <c r="T43" s="83"/>
      <c r="U43" s="317"/>
      <c r="V43" s="83"/>
      <c r="W43" s="83"/>
      <c r="X43" s="83"/>
      <c r="Y43" s="83"/>
    </row>
    <row r="44" spans="1:25" s="84" customFormat="1" ht="19.5" customHeight="1">
      <c r="A44" s="80" t="s">
        <v>35</v>
      </c>
      <c r="B44" s="81"/>
      <c r="C44" s="82"/>
      <c r="D44" s="83">
        <v>3456</v>
      </c>
      <c r="E44" s="83">
        <v>3336</v>
      </c>
      <c r="F44" s="83">
        <v>4210</v>
      </c>
      <c r="G44" s="83">
        <v>4391</v>
      </c>
      <c r="H44" s="83">
        <v>4430</v>
      </c>
      <c r="I44" s="83">
        <v>4192</v>
      </c>
      <c r="J44" s="83">
        <v>4776</v>
      </c>
      <c r="K44" s="83">
        <v>4835</v>
      </c>
      <c r="L44" s="83">
        <v>5475</v>
      </c>
      <c r="M44" s="83">
        <v>6569</v>
      </c>
      <c r="N44" s="174">
        <v>6875</v>
      </c>
      <c r="O44" s="174">
        <v>6490</v>
      </c>
      <c r="P44" s="83">
        <v>6552</v>
      </c>
      <c r="Q44" s="83">
        <v>4406</v>
      </c>
      <c r="R44" s="210">
        <v>5741</v>
      </c>
      <c r="S44" s="83">
        <v>5900</v>
      </c>
      <c r="T44" s="83">
        <v>6950</v>
      </c>
      <c r="U44" s="317">
        <v>6657</v>
      </c>
      <c r="V44" s="83">
        <v>5650</v>
      </c>
      <c r="W44" s="83">
        <v>7222</v>
      </c>
      <c r="X44" s="83">
        <v>10209</v>
      </c>
      <c r="Y44" s="83"/>
    </row>
    <row r="45" spans="1:25" s="84" customFormat="1" ht="19.5" customHeight="1">
      <c r="A45" s="80" t="s">
        <v>36</v>
      </c>
      <c r="B45" s="81"/>
      <c r="C45" s="82"/>
      <c r="D45" s="83">
        <v>22</v>
      </c>
      <c r="E45" s="83">
        <v>20</v>
      </c>
      <c r="F45" s="83">
        <v>28</v>
      </c>
      <c r="G45" s="83">
        <v>35</v>
      </c>
      <c r="H45" s="83">
        <v>136</v>
      </c>
      <c r="I45" s="83">
        <v>63</v>
      </c>
      <c r="J45" s="83">
        <v>96</v>
      </c>
      <c r="K45" s="83">
        <v>79</v>
      </c>
      <c r="L45" s="83">
        <v>106</v>
      </c>
      <c r="M45" s="83">
        <v>100</v>
      </c>
      <c r="N45" s="174">
        <v>60</v>
      </c>
      <c r="O45" s="174">
        <v>65</v>
      </c>
      <c r="P45" s="83">
        <v>60</v>
      </c>
      <c r="Q45" s="83"/>
      <c r="R45" s="210">
        <v>30</v>
      </c>
      <c r="S45" s="83">
        <v>21</v>
      </c>
      <c r="T45" s="83">
        <v>50</v>
      </c>
      <c r="U45" s="317">
        <v>53</v>
      </c>
      <c r="V45" s="83">
        <v>57</v>
      </c>
      <c r="W45" s="83">
        <v>68</v>
      </c>
      <c r="X45" s="83">
        <v>83</v>
      </c>
      <c r="Y45" s="83"/>
    </row>
    <row r="46" spans="1:25" s="84" customFormat="1" ht="19.5" customHeight="1">
      <c r="A46" s="80" t="s">
        <v>37</v>
      </c>
      <c r="B46" s="81"/>
      <c r="C46" s="82"/>
      <c r="D46" s="83">
        <v>28</v>
      </c>
      <c r="E46" s="83">
        <v>127</v>
      </c>
      <c r="F46" s="83">
        <v>30</v>
      </c>
      <c r="G46" s="83">
        <v>29</v>
      </c>
      <c r="H46" s="83">
        <v>24</v>
      </c>
      <c r="I46" s="83">
        <v>61</v>
      </c>
      <c r="J46" s="83">
        <v>63</v>
      </c>
      <c r="K46" s="83">
        <v>56</v>
      </c>
      <c r="L46" s="83">
        <v>36</v>
      </c>
      <c r="M46" s="83">
        <v>11</v>
      </c>
      <c r="N46" s="174">
        <v>75</v>
      </c>
      <c r="O46" s="174">
        <v>145</v>
      </c>
      <c r="P46" s="83">
        <v>131</v>
      </c>
      <c r="Q46" s="83"/>
      <c r="R46" s="210">
        <v>395</v>
      </c>
      <c r="S46" s="83">
        <v>158</v>
      </c>
      <c r="T46" s="83">
        <v>300</v>
      </c>
      <c r="U46" s="317"/>
      <c r="V46" s="83"/>
      <c r="W46" s="83"/>
      <c r="X46" s="83"/>
      <c r="Y46" s="83"/>
    </row>
    <row r="47" spans="1:25" s="84" customFormat="1" ht="19.5" customHeight="1">
      <c r="A47" s="127" t="s">
        <v>38</v>
      </c>
      <c r="B47" s="128"/>
      <c r="C47" s="129"/>
      <c r="D47" s="130">
        <v>168143</v>
      </c>
      <c r="E47" s="130">
        <v>188985</v>
      </c>
      <c r="F47" s="130">
        <v>185469</v>
      </c>
      <c r="G47" s="130">
        <v>178770</v>
      </c>
      <c r="H47" s="130">
        <v>178808</v>
      </c>
      <c r="I47" s="130">
        <v>157376</v>
      </c>
      <c r="J47" s="130">
        <f aca="true" t="shared" si="4" ref="J47:Q47">SUM(J16+J28+J37+J38+J39+J40+J42+J43+J44+J45+J46)</f>
        <v>159873</v>
      </c>
      <c r="K47" s="130">
        <f t="shared" si="4"/>
        <v>168428</v>
      </c>
      <c r="L47" s="130">
        <f t="shared" si="4"/>
        <v>167915</v>
      </c>
      <c r="M47" s="130">
        <f t="shared" si="4"/>
        <v>169353</v>
      </c>
      <c r="N47" s="130">
        <f t="shared" si="4"/>
        <v>148438</v>
      </c>
      <c r="O47" s="130">
        <f t="shared" si="4"/>
        <v>149387</v>
      </c>
      <c r="P47" s="130">
        <f t="shared" si="4"/>
        <v>153058</v>
      </c>
      <c r="Q47" s="130">
        <f t="shared" si="4"/>
        <v>118316</v>
      </c>
      <c r="R47" s="130">
        <f>SUM(R16+R28+R37+R38+R39+R40+R42+R43+R44+R45+R46)</f>
        <v>123236</v>
      </c>
      <c r="S47" s="130">
        <f>SUM(S16+S28+S37)+SUM(S38+S39+S40+S42+S43+S44+S45+S46)</f>
        <v>134903</v>
      </c>
      <c r="T47" s="130">
        <f>SUM(T16+T28+T37)+SUM(T38+T39+T40+T42+T43+T44+T45+T46)</f>
        <v>139975.5</v>
      </c>
      <c r="U47" s="319">
        <f>+U16+U28+U37+U38+U39+U40+U41+U42+U43+U44+U45+U46</f>
        <v>140105.07</v>
      </c>
      <c r="V47" s="311">
        <f>+V16+V28+V37+V38+V39+V40+V41+V42+V43+V44+V45+V46</f>
        <v>136992</v>
      </c>
      <c r="W47" s="311">
        <f>+W16+W28+W37+W38+W39+W40+W41+W42+W43+W44+W45+W46</f>
        <v>118988</v>
      </c>
      <c r="X47" s="357">
        <f>+X16+X28+X37+X38+X39+X40+X41+X42+X43+X44+X45+X46</f>
        <v>139371</v>
      </c>
      <c r="Y47" s="300"/>
    </row>
    <row r="48" spans="6:7" ht="12.75">
      <c r="F48" s="78" t="s">
        <v>39</v>
      </c>
      <c r="G48" s="78" t="s">
        <v>39</v>
      </c>
    </row>
  </sheetData>
  <sheetProtection/>
  <mergeCells count="1">
    <mergeCell ref="A3:I3"/>
  </mergeCells>
  <printOptions horizontalCentered="1"/>
  <pageMargins left="0.19" right="0.1968503937007874" top="0.3937007874015748" bottom="0.1968503937007874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8FF98F"/>
    <pageSetUpPr fitToPage="1"/>
  </sheetPr>
  <dimension ref="A1:Y53"/>
  <sheetViews>
    <sheetView zoomScale="95" zoomScaleNormal="95" zoomScalePageLayoutView="0" workbookViewId="0" topLeftCell="A1">
      <pane xSplit="2" topLeftCell="S1" activePane="topRight" state="frozen"/>
      <selection pane="topLeft" activeCell="A11" sqref="A11:M11"/>
      <selection pane="topRight" activeCell="Z56" sqref="Z56"/>
    </sheetView>
  </sheetViews>
  <sheetFormatPr defaultColWidth="11.421875" defaultRowHeight="12.75"/>
  <cols>
    <col min="1" max="1" width="11.421875" style="67" customWidth="1"/>
    <col min="2" max="2" width="17.140625" style="67" customWidth="1"/>
    <col min="3" max="3" width="5.140625" style="67" customWidth="1"/>
    <col min="4" max="9" width="11.421875" style="67" hidden="1" customWidth="1"/>
    <col min="10" max="10" width="10.8515625" style="67" customWidth="1"/>
    <col min="11" max="11" width="11.421875" style="67" customWidth="1"/>
    <col min="12" max="13" width="11.421875" style="91" customWidth="1"/>
    <col min="14" max="14" width="0" style="67" hidden="1" customWidth="1"/>
    <col min="15" max="15" width="6.7109375" style="67" hidden="1" customWidth="1"/>
    <col min="16" max="16" width="14.00390625" style="67" hidden="1" customWidth="1"/>
    <col min="17" max="17" width="12.57421875" style="67" hidden="1" customWidth="1"/>
    <col min="18" max="18" width="0" style="67" hidden="1" customWidth="1"/>
    <col min="19" max="19" width="12.57421875" style="67" customWidth="1"/>
    <col min="20" max="20" width="11.8515625" style="261" customWidth="1"/>
    <col min="21" max="22" width="12.421875" style="273" customWidth="1"/>
    <col min="23" max="24" width="11.7109375" style="67" customWidth="1"/>
    <col min="25" max="16384" width="11.421875" style="67" customWidth="1"/>
  </cols>
  <sheetData>
    <row r="1" spans="1:9" ht="16.5" customHeight="1">
      <c r="A1" s="131" t="s">
        <v>62</v>
      </c>
      <c r="B1" s="132"/>
      <c r="C1" s="66"/>
      <c r="D1" s="66"/>
      <c r="E1" s="66"/>
      <c r="F1" s="66"/>
      <c r="G1" s="66"/>
      <c r="H1" s="66"/>
      <c r="I1" s="66"/>
    </row>
    <row r="2" spans="1:9" ht="16.5" customHeight="1">
      <c r="A2" s="384" t="s">
        <v>41</v>
      </c>
      <c r="B2" s="384"/>
      <c r="C2" s="384"/>
      <c r="D2" s="384"/>
      <c r="E2" s="384"/>
      <c r="F2" s="384"/>
      <c r="G2" s="384"/>
      <c r="H2" s="384"/>
      <c r="I2" s="384"/>
    </row>
    <row r="3" spans="1:9" ht="13.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25" ht="30.75" customHeight="1">
      <c r="A4" s="66"/>
      <c r="B4" s="66"/>
      <c r="C4" s="66"/>
      <c r="D4" s="66"/>
      <c r="E4" s="66"/>
      <c r="F4" s="66"/>
      <c r="G4" s="66"/>
      <c r="H4" s="66"/>
      <c r="I4" s="66"/>
      <c r="X4"/>
      <c r="Y4" s="359" t="s">
        <v>203</v>
      </c>
    </row>
    <row r="5" spans="1:25" s="68" customFormat="1" ht="27.75" customHeight="1">
      <c r="A5" s="133" t="s">
        <v>0</v>
      </c>
      <c r="B5" s="134"/>
      <c r="C5" s="135"/>
      <c r="D5" s="136">
        <v>1997</v>
      </c>
      <c r="E5" s="136">
        <v>1998</v>
      </c>
      <c r="F5" s="136">
        <v>1999</v>
      </c>
      <c r="G5" s="136">
        <v>2000</v>
      </c>
      <c r="H5" s="136">
        <v>2001</v>
      </c>
      <c r="I5" s="136">
        <v>2002</v>
      </c>
      <c r="J5" s="136">
        <v>2003</v>
      </c>
      <c r="K5" s="136">
        <v>2004</v>
      </c>
      <c r="L5" s="137">
        <v>2005</v>
      </c>
      <c r="M5" s="137">
        <v>2006</v>
      </c>
      <c r="N5" s="137">
        <v>2007</v>
      </c>
      <c r="O5" s="158">
        <v>2008</v>
      </c>
      <c r="P5" s="137">
        <v>2009</v>
      </c>
      <c r="Q5" s="137">
        <v>2010</v>
      </c>
      <c r="R5" s="137">
        <v>2011</v>
      </c>
      <c r="S5" s="137">
        <v>2012</v>
      </c>
      <c r="T5" s="137">
        <v>2013</v>
      </c>
      <c r="U5" s="137">
        <v>2014</v>
      </c>
      <c r="V5" s="137">
        <v>2015</v>
      </c>
      <c r="W5" s="137">
        <v>2016</v>
      </c>
      <c r="X5" s="137">
        <v>2017</v>
      </c>
      <c r="Y5" s="137">
        <v>2018</v>
      </c>
    </row>
    <row r="6" spans="1:25" ht="19.5" customHeight="1">
      <c r="A6" s="69" t="s">
        <v>1</v>
      </c>
      <c r="B6" s="70"/>
      <c r="C6" s="71"/>
      <c r="D6" s="72">
        <v>16889</v>
      </c>
      <c r="E6" s="72">
        <v>16147</v>
      </c>
      <c r="F6" s="72">
        <v>15798</v>
      </c>
      <c r="G6" s="72">
        <v>15483</v>
      </c>
      <c r="H6" s="72">
        <v>18303</v>
      </c>
      <c r="I6" s="72">
        <v>17338</v>
      </c>
      <c r="J6" s="72">
        <v>16656</v>
      </c>
      <c r="K6" s="72">
        <v>16109</v>
      </c>
      <c r="L6" s="72">
        <v>14916</v>
      </c>
      <c r="M6" s="72">
        <v>12953</v>
      </c>
      <c r="N6" s="72">
        <v>13666</v>
      </c>
      <c r="O6" s="72">
        <v>15452</v>
      </c>
      <c r="P6" s="72">
        <v>15281</v>
      </c>
      <c r="Q6" s="72">
        <v>12072</v>
      </c>
      <c r="R6" s="72">
        <v>11888</v>
      </c>
      <c r="S6" s="72">
        <v>12733</v>
      </c>
      <c r="T6" s="295">
        <v>13636</v>
      </c>
      <c r="U6" s="295">
        <f>14187+5070</f>
        <v>19257</v>
      </c>
      <c r="V6" s="295">
        <v>13925</v>
      </c>
      <c r="W6" s="295">
        <v>12404</v>
      </c>
      <c r="X6" s="353">
        <v>12550</v>
      </c>
      <c r="Y6" s="353">
        <v>2687</v>
      </c>
    </row>
    <row r="7" spans="1:25" ht="19.5" customHeight="1">
      <c r="A7" s="69" t="s">
        <v>2</v>
      </c>
      <c r="B7" s="70"/>
      <c r="C7" s="71"/>
      <c r="D7" s="72">
        <v>31883</v>
      </c>
      <c r="E7" s="72">
        <v>32471</v>
      </c>
      <c r="F7" s="72">
        <v>25226</v>
      </c>
      <c r="G7" s="72">
        <v>23445</v>
      </c>
      <c r="H7" s="72">
        <v>23142</v>
      </c>
      <c r="I7" s="72">
        <v>24430</v>
      </c>
      <c r="J7" s="72">
        <v>22082</v>
      </c>
      <c r="K7" s="72">
        <v>22631</v>
      </c>
      <c r="L7" s="72">
        <v>21508</v>
      </c>
      <c r="M7" s="72">
        <v>22051</v>
      </c>
      <c r="N7" s="72">
        <v>22294</v>
      </c>
      <c r="O7" s="72">
        <v>24318</v>
      </c>
      <c r="P7" s="72">
        <v>26065</v>
      </c>
      <c r="Q7" s="72">
        <v>22808</v>
      </c>
      <c r="R7" s="72">
        <v>20025</v>
      </c>
      <c r="S7" s="72">
        <v>22762</v>
      </c>
      <c r="T7" s="295">
        <v>23950</v>
      </c>
      <c r="U7" s="295">
        <v>21383</v>
      </c>
      <c r="V7" s="295">
        <v>26642</v>
      </c>
      <c r="W7" s="295">
        <v>23616</v>
      </c>
      <c r="X7" s="353">
        <v>23683</v>
      </c>
      <c r="Y7" s="353">
        <v>21266</v>
      </c>
    </row>
    <row r="8" spans="1:25" ht="19.5" customHeight="1">
      <c r="A8" s="69" t="s">
        <v>95</v>
      </c>
      <c r="B8" s="70"/>
      <c r="C8" s="71"/>
      <c r="D8" s="72"/>
      <c r="E8" s="72"/>
      <c r="F8" s="72"/>
      <c r="G8" s="72"/>
      <c r="H8" s="72"/>
      <c r="I8" s="72"/>
      <c r="J8" s="72"/>
      <c r="K8" s="72"/>
      <c r="L8" s="72"/>
      <c r="M8" s="72">
        <v>89</v>
      </c>
      <c r="N8" s="72">
        <v>84</v>
      </c>
      <c r="O8" s="72">
        <v>101</v>
      </c>
      <c r="P8" s="72">
        <v>102</v>
      </c>
      <c r="Q8" s="72">
        <v>96</v>
      </c>
      <c r="R8" s="72"/>
      <c r="S8" s="72">
        <v>97</v>
      </c>
      <c r="T8" s="295">
        <v>122</v>
      </c>
      <c r="U8" s="295">
        <v>226</v>
      </c>
      <c r="V8" s="295">
        <v>455</v>
      </c>
      <c r="W8" s="295">
        <v>442</v>
      </c>
      <c r="X8" s="353">
        <v>510</v>
      </c>
      <c r="Y8" s="353">
        <v>401</v>
      </c>
    </row>
    <row r="9" spans="1:25" ht="19.5" customHeight="1">
      <c r="A9" s="69" t="s">
        <v>42</v>
      </c>
      <c r="B9" s="70"/>
      <c r="C9" s="71"/>
      <c r="D9" s="72">
        <v>3031</v>
      </c>
      <c r="E9" s="72">
        <v>3774</v>
      </c>
      <c r="F9" s="72">
        <v>2723</v>
      </c>
      <c r="G9" s="72">
        <f>807+1274</f>
        <v>2081</v>
      </c>
      <c r="H9" s="72">
        <f>1663+946</f>
        <v>2609</v>
      </c>
      <c r="I9" s="72">
        <f>1919+1607</f>
        <v>3526</v>
      </c>
      <c r="J9" s="72">
        <f>1381+1695</f>
        <v>3076</v>
      </c>
      <c r="K9" s="72">
        <f>1889+1612</f>
        <v>3501</v>
      </c>
      <c r="L9" s="72">
        <f>1011+1328</f>
        <v>2339</v>
      </c>
      <c r="M9" s="72">
        <f>937+1200</f>
        <v>2137</v>
      </c>
      <c r="N9" s="72">
        <v>1261</v>
      </c>
      <c r="O9" s="72">
        <f>1072+1293</f>
        <v>2365</v>
      </c>
      <c r="P9" s="72">
        <f>1514+1151</f>
        <v>2665</v>
      </c>
      <c r="Q9" s="72">
        <f>1066+989</f>
        <v>2055</v>
      </c>
      <c r="R9" s="72">
        <f>1670+123</f>
        <v>1793</v>
      </c>
      <c r="S9" s="72">
        <v>1014</v>
      </c>
      <c r="T9" s="295">
        <v>2382</v>
      </c>
      <c r="U9" s="295">
        <v>2424</v>
      </c>
      <c r="V9" s="295">
        <v>2062</v>
      </c>
      <c r="W9" s="295">
        <f>926+976</f>
        <v>1902</v>
      </c>
      <c r="X9" s="353">
        <v>2388</v>
      </c>
      <c r="Y9" s="353">
        <v>1295</v>
      </c>
    </row>
    <row r="10" spans="1:25" ht="19.5" customHeight="1">
      <c r="A10" s="69" t="s">
        <v>3</v>
      </c>
      <c r="B10" s="70"/>
      <c r="C10" s="71"/>
      <c r="D10" s="72">
        <v>1730</v>
      </c>
      <c r="E10" s="72">
        <v>1810</v>
      </c>
      <c r="F10" s="72">
        <v>1941</v>
      </c>
      <c r="G10" s="72">
        <v>1577</v>
      </c>
      <c r="H10" s="72">
        <v>1156</v>
      </c>
      <c r="I10" s="72">
        <v>1004</v>
      </c>
      <c r="J10" s="72">
        <v>833</v>
      </c>
      <c r="K10" s="72">
        <v>1150</v>
      </c>
      <c r="L10" s="72">
        <v>1609</v>
      </c>
      <c r="M10" s="72">
        <v>1420</v>
      </c>
      <c r="N10" s="72">
        <v>1914</v>
      </c>
      <c r="O10" s="72">
        <v>2352</v>
      </c>
      <c r="P10" s="72">
        <v>2237</v>
      </c>
      <c r="Q10" s="72">
        <v>1567</v>
      </c>
      <c r="R10" s="72">
        <v>1169</v>
      </c>
      <c r="S10" s="72">
        <v>1881</v>
      </c>
      <c r="T10" s="295">
        <v>2791</v>
      </c>
      <c r="U10" s="295">
        <v>2746</v>
      </c>
      <c r="V10" s="295">
        <v>2649</v>
      </c>
      <c r="W10" s="295">
        <v>1945</v>
      </c>
      <c r="X10" s="353">
        <v>1874</v>
      </c>
      <c r="Y10" s="353">
        <v>1497</v>
      </c>
    </row>
    <row r="11" spans="1:25" ht="19.5" customHeight="1">
      <c r="A11" s="69" t="s">
        <v>96</v>
      </c>
      <c r="B11" s="70"/>
      <c r="C11" s="71"/>
      <c r="D11" s="72">
        <v>6227</v>
      </c>
      <c r="E11" s="72">
        <v>6773</v>
      </c>
      <c r="F11" s="72">
        <v>6015</v>
      </c>
      <c r="G11" s="72">
        <v>5957</v>
      </c>
      <c r="H11" s="72">
        <v>6779</v>
      </c>
      <c r="I11" s="72">
        <v>8209</v>
      </c>
      <c r="J11" s="72">
        <v>8367</v>
      </c>
      <c r="K11" s="72">
        <v>9520</v>
      </c>
      <c r="L11" s="72">
        <v>9221</v>
      </c>
      <c r="M11" s="72">
        <v>7715</v>
      </c>
      <c r="N11" s="72">
        <v>6776</v>
      </c>
      <c r="O11" s="72">
        <v>7070</v>
      </c>
      <c r="P11" s="72">
        <v>7477</v>
      </c>
      <c r="Q11" s="72">
        <v>8773</v>
      </c>
      <c r="R11" s="72">
        <v>7769</v>
      </c>
      <c r="S11" s="72">
        <v>8614</v>
      </c>
      <c r="T11" s="295">
        <v>8454</v>
      </c>
      <c r="U11" s="295">
        <v>9684</v>
      </c>
      <c r="V11" s="295">
        <v>9908</v>
      </c>
      <c r="W11" s="295">
        <v>8035</v>
      </c>
      <c r="X11" s="353">
        <v>7093</v>
      </c>
      <c r="Y11" s="353">
        <v>7062</v>
      </c>
    </row>
    <row r="12" spans="1:25" ht="19.5" customHeight="1">
      <c r="A12" s="69" t="s">
        <v>61</v>
      </c>
      <c r="B12" s="70"/>
      <c r="C12" s="71"/>
      <c r="D12" s="72">
        <v>10323</v>
      </c>
      <c r="E12" s="72">
        <v>12495</v>
      </c>
      <c r="F12" s="72">
        <v>15458</v>
      </c>
      <c r="G12" s="72">
        <v>18106</v>
      </c>
      <c r="H12" s="72">
        <v>15618</v>
      </c>
      <c r="I12" s="72">
        <v>16408</v>
      </c>
      <c r="J12" s="72">
        <v>16014</v>
      </c>
      <c r="K12" s="72">
        <v>18353</v>
      </c>
      <c r="L12" s="72">
        <v>16742</v>
      </c>
      <c r="M12" s="72">
        <v>16926</v>
      </c>
      <c r="N12" s="72">
        <v>16487</v>
      </c>
      <c r="O12" s="72">
        <v>16940</v>
      </c>
      <c r="P12" s="72">
        <v>15763</v>
      </c>
      <c r="Q12" s="72">
        <v>16617</v>
      </c>
      <c r="R12" s="72">
        <v>13998</v>
      </c>
      <c r="S12" s="72">
        <v>14050</v>
      </c>
      <c r="T12" s="295">
        <v>13586</v>
      </c>
      <c r="U12" s="295">
        <v>12623</v>
      </c>
      <c r="V12" s="295">
        <v>12609</v>
      </c>
      <c r="W12" s="295">
        <v>13155</v>
      </c>
      <c r="X12" s="353">
        <v>13410</v>
      </c>
      <c r="Y12" s="353">
        <v>10498</v>
      </c>
    </row>
    <row r="13" spans="1:25" ht="19.5" customHeight="1">
      <c r="A13" s="69" t="s">
        <v>5</v>
      </c>
      <c r="B13" s="70"/>
      <c r="C13" s="71"/>
      <c r="D13" s="72">
        <v>314</v>
      </c>
      <c r="E13" s="72">
        <v>308</v>
      </c>
      <c r="F13" s="72">
        <v>603</v>
      </c>
      <c r="G13" s="72">
        <v>619</v>
      </c>
      <c r="H13" s="72">
        <v>615</v>
      </c>
      <c r="I13" s="72">
        <v>476</v>
      </c>
      <c r="J13" s="72">
        <v>537</v>
      </c>
      <c r="K13" s="72">
        <v>694</v>
      </c>
      <c r="L13" s="72">
        <v>608</v>
      </c>
      <c r="M13" s="72">
        <v>508</v>
      </c>
      <c r="N13" s="72">
        <v>566</v>
      </c>
      <c r="O13" s="72">
        <v>585</v>
      </c>
      <c r="P13" s="72">
        <v>791</v>
      </c>
      <c r="Q13" s="72">
        <v>932</v>
      </c>
      <c r="R13" s="72">
        <v>1145</v>
      </c>
      <c r="S13" s="72">
        <v>1363</v>
      </c>
      <c r="T13" s="295">
        <v>1673</v>
      </c>
      <c r="U13" s="295">
        <v>1504</v>
      </c>
      <c r="V13" s="295">
        <v>1439</v>
      </c>
      <c r="W13" s="295">
        <v>1214</v>
      </c>
      <c r="X13" s="353">
        <v>1858</v>
      </c>
      <c r="Y13" s="353">
        <v>1365</v>
      </c>
    </row>
    <row r="14" spans="1:25" ht="19.5" customHeight="1">
      <c r="A14" s="69" t="s">
        <v>6</v>
      </c>
      <c r="B14" s="70"/>
      <c r="C14" s="71"/>
      <c r="D14" s="72">
        <v>96870</v>
      </c>
      <c r="E14" s="72">
        <v>108024</v>
      </c>
      <c r="F14" s="72">
        <v>111215</v>
      </c>
      <c r="G14" s="72">
        <v>104544</v>
      </c>
      <c r="H14" s="72">
        <v>93637</v>
      </c>
      <c r="I14" s="72">
        <v>97518</v>
      </c>
      <c r="J14" s="72">
        <v>83348</v>
      </c>
      <c r="K14" s="72">
        <v>89922</v>
      </c>
      <c r="L14" s="72">
        <v>85334</v>
      </c>
      <c r="M14" s="72">
        <v>82224</v>
      </c>
      <c r="N14" s="72">
        <v>81473</v>
      </c>
      <c r="O14" s="72">
        <v>84553</v>
      </c>
      <c r="P14" s="72">
        <v>90547</v>
      </c>
      <c r="Q14" s="72">
        <v>87782</v>
      </c>
      <c r="R14" s="72">
        <v>81489</v>
      </c>
      <c r="S14" s="72">
        <v>83113</v>
      </c>
      <c r="T14" s="295">
        <v>86459</v>
      </c>
      <c r="U14" s="295">
        <f>97814-1504</f>
        <v>96310</v>
      </c>
      <c r="V14" s="295">
        <v>101660</v>
      </c>
      <c r="W14" s="295">
        <v>89845</v>
      </c>
      <c r="X14" s="353">
        <v>82292</v>
      </c>
      <c r="Y14" s="353">
        <v>77541</v>
      </c>
    </row>
    <row r="15" spans="1:25" ht="19.5" customHeight="1">
      <c r="A15" s="69" t="s">
        <v>7</v>
      </c>
      <c r="B15" s="70"/>
      <c r="C15" s="71"/>
      <c r="D15" s="72">
        <v>47482</v>
      </c>
      <c r="E15" s="72">
        <v>47468</v>
      </c>
      <c r="F15" s="72">
        <v>41352</v>
      </c>
      <c r="G15" s="72">
        <v>42768</v>
      </c>
      <c r="H15" s="72">
        <v>50970</v>
      </c>
      <c r="I15" s="72">
        <v>49815</v>
      </c>
      <c r="J15" s="72">
        <v>50562</v>
      </c>
      <c r="K15" s="72">
        <v>56415</v>
      </c>
      <c r="L15" s="72">
        <v>48917</v>
      </c>
      <c r="M15" s="72">
        <v>40012</v>
      </c>
      <c r="N15" s="72">
        <v>48459</v>
      </c>
      <c r="O15" s="72">
        <v>57706</v>
      </c>
      <c r="P15" s="72">
        <v>67591</v>
      </c>
      <c r="Q15" s="72">
        <v>51230</v>
      </c>
      <c r="R15" s="72">
        <v>55979</v>
      </c>
      <c r="S15" s="72">
        <v>71715</v>
      </c>
      <c r="T15" s="295">
        <v>83793</v>
      </c>
      <c r="U15" s="295">
        <v>97414</v>
      </c>
      <c r="V15" s="295">
        <v>72626</v>
      </c>
      <c r="W15" s="295">
        <v>66820</v>
      </c>
      <c r="X15" s="353">
        <v>60008</v>
      </c>
      <c r="Y15" s="353"/>
    </row>
    <row r="16" spans="1:25" ht="19.5" customHeight="1">
      <c r="A16" s="69" t="s">
        <v>8</v>
      </c>
      <c r="B16" s="70"/>
      <c r="C16" s="71"/>
      <c r="D16" s="72">
        <v>461</v>
      </c>
      <c r="E16" s="72">
        <v>834</v>
      </c>
      <c r="F16" s="72">
        <v>695</v>
      </c>
      <c r="G16" s="72">
        <v>562</v>
      </c>
      <c r="H16" s="72">
        <v>439</v>
      </c>
      <c r="I16" s="72">
        <v>471</v>
      </c>
      <c r="J16" s="72">
        <v>489</v>
      </c>
      <c r="K16" s="72">
        <v>402</v>
      </c>
      <c r="L16" s="72">
        <v>369</v>
      </c>
      <c r="M16" s="72">
        <v>187</v>
      </c>
      <c r="N16" s="72">
        <v>260</v>
      </c>
      <c r="O16" s="72">
        <v>248</v>
      </c>
      <c r="P16" s="72">
        <v>205</v>
      </c>
      <c r="Q16" s="72">
        <v>190</v>
      </c>
      <c r="R16" s="72">
        <v>407</v>
      </c>
      <c r="S16" s="72">
        <v>378</v>
      </c>
      <c r="T16" s="295">
        <v>414</v>
      </c>
      <c r="U16" s="295">
        <v>875</v>
      </c>
      <c r="V16" s="295">
        <v>267</v>
      </c>
      <c r="W16" s="295">
        <v>346</v>
      </c>
      <c r="X16" s="353">
        <v>274</v>
      </c>
      <c r="Y16" s="353"/>
    </row>
    <row r="17" spans="1:25" ht="19.5" customHeight="1">
      <c r="A17" s="138" t="s">
        <v>9</v>
      </c>
      <c r="B17" s="139"/>
      <c r="C17" s="140"/>
      <c r="D17" s="141">
        <v>215210</v>
      </c>
      <c r="E17" s="141">
        <v>230014</v>
      </c>
      <c r="F17" s="141">
        <v>216575</v>
      </c>
      <c r="G17" s="141">
        <v>216484</v>
      </c>
      <c r="H17" s="141">
        <v>214544</v>
      </c>
      <c r="I17" s="141">
        <v>221645</v>
      </c>
      <c r="J17" s="141">
        <f aca="true" t="shared" si="0" ref="J17:T17">SUM(J6:J16)</f>
        <v>201964</v>
      </c>
      <c r="K17" s="141">
        <f t="shared" si="0"/>
        <v>218697</v>
      </c>
      <c r="L17" s="141">
        <f t="shared" si="0"/>
        <v>201563</v>
      </c>
      <c r="M17" s="141">
        <f t="shared" si="0"/>
        <v>186222</v>
      </c>
      <c r="N17" s="141">
        <f t="shared" si="0"/>
        <v>193240</v>
      </c>
      <c r="O17" s="141">
        <f t="shared" si="0"/>
        <v>211690</v>
      </c>
      <c r="P17" s="141">
        <f t="shared" si="0"/>
        <v>228724</v>
      </c>
      <c r="Q17" s="141">
        <f t="shared" si="0"/>
        <v>204122</v>
      </c>
      <c r="R17" s="141">
        <f t="shared" si="0"/>
        <v>195662</v>
      </c>
      <c r="S17" s="141">
        <f t="shared" si="0"/>
        <v>217720</v>
      </c>
      <c r="T17" s="141">
        <f t="shared" si="0"/>
        <v>237260</v>
      </c>
      <c r="U17" s="296">
        <f>SUM(U6:U16)</f>
        <v>264446</v>
      </c>
      <c r="V17" s="296">
        <f>SUM(V6:V16)</f>
        <v>244242</v>
      </c>
      <c r="W17" s="296">
        <f>SUM(W6:W16)</f>
        <v>219724</v>
      </c>
      <c r="X17" s="354">
        <f>SUM(X6:X16)</f>
        <v>205940</v>
      </c>
      <c r="Y17" s="354">
        <f>SUM(Y6:Y16)</f>
        <v>123612</v>
      </c>
    </row>
    <row r="18" spans="1:25" ht="19.5" customHeight="1">
      <c r="A18" s="80" t="s">
        <v>10</v>
      </c>
      <c r="B18" s="70"/>
      <c r="C18" s="71"/>
      <c r="D18" s="72">
        <v>1920</v>
      </c>
      <c r="E18" s="72">
        <v>2264</v>
      </c>
      <c r="F18" s="72">
        <v>2935</v>
      </c>
      <c r="G18" s="72">
        <v>3495</v>
      </c>
      <c r="H18" s="72">
        <v>3365</v>
      </c>
      <c r="I18" s="72">
        <v>2462</v>
      </c>
      <c r="J18" s="72">
        <v>1921</v>
      </c>
      <c r="K18" s="72">
        <v>2158</v>
      </c>
      <c r="L18" s="72">
        <v>2875</v>
      </c>
      <c r="M18" s="72">
        <v>3240</v>
      </c>
      <c r="N18" s="72">
        <v>3720</v>
      </c>
      <c r="O18" s="72">
        <v>3929</v>
      </c>
      <c r="P18" s="72">
        <v>3691</v>
      </c>
      <c r="Q18" s="72">
        <v>1335</v>
      </c>
      <c r="R18" s="72">
        <v>1099</v>
      </c>
      <c r="S18" s="72">
        <v>1699</v>
      </c>
      <c r="T18" s="94">
        <v>2027</v>
      </c>
      <c r="U18" s="295">
        <v>2052</v>
      </c>
      <c r="V18" s="295">
        <v>1641</v>
      </c>
      <c r="W18" s="295">
        <v>1745</v>
      </c>
      <c r="X18" s="353">
        <v>1883</v>
      </c>
      <c r="Y18" s="353">
        <v>2203</v>
      </c>
    </row>
    <row r="19" spans="1:25" ht="19.5" customHeight="1">
      <c r="A19" s="80" t="s">
        <v>11</v>
      </c>
      <c r="B19" s="70"/>
      <c r="C19" s="71"/>
      <c r="D19" s="72">
        <v>0</v>
      </c>
      <c r="E19" s="72">
        <v>10</v>
      </c>
      <c r="F19" s="72">
        <v>0</v>
      </c>
      <c r="G19" s="72">
        <v>0</v>
      </c>
      <c r="H19" s="72">
        <v>11</v>
      </c>
      <c r="I19" s="72">
        <v>3</v>
      </c>
      <c r="J19" s="72">
        <v>3</v>
      </c>
      <c r="K19" s="72">
        <v>3</v>
      </c>
      <c r="L19" s="72"/>
      <c r="M19" s="72"/>
      <c r="N19" s="72"/>
      <c r="O19" s="72"/>
      <c r="P19" s="72"/>
      <c r="Q19" s="72"/>
      <c r="R19" s="72"/>
      <c r="S19" s="72"/>
      <c r="T19" s="94"/>
      <c r="U19" s="295"/>
      <c r="V19" s="295"/>
      <c r="W19" s="295"/>
      <c r="X19" s="353"/>
      <c r="Y19" s="353"/>
    </row>
    <row r="20" spans="1:25" ht="19.5" customHeight="1">
      <c r="A20" s="38" t="s">
        <v>197</v>
      </c>
      <c r="B20" s="70"/>
      <c r="C20" s="71"/>
      <c r="D20" s="72">
        <v>11</v>
      </c>
      <c r="E20" s="72">
        <v>2</v>
      </c>
      <c r="F20" s="72">
        <v>2</v>
      </c>
      <c r="G20" s="72">
        <v>14</v>
      </c>
      <c r="H20" s="72">
        <v>19</v>
      </c>
      <c r="I20" s="72">
        <v>47</v>
      </c>
      <c r="J20" s="72">
        <v>67</v>
      </c>
      <c r="K20" s="72">
        <v>6</v>
      </c>
      <c r="L20" s="72">
        <v>5</v>
      </c>
      <c r="M20" s="72"/>
      <c r="N20" s="72">
        <v>5</v>
      </c>
      <c r="O20" s="72"/>
      <c r="P20" s="72"/>
      <c r="Q20" s="72"/>
      <c r="R20" s="72"/>
      <c r="S20" s="72"/>
      <c r="T20" s="94"/>
      <c r="U20" s="295"/>
      <c r="V20" s="295"/>
      <c r="W20" s="295"/>
      <c r="X20" s="353"/>
      <c r="Y20" s="353"/>
    </row>
    <row r="21" spans="1:25" ht="19.5" customHeight="1">
      <c r="A21" s="80" t="s">
        <v>13</v>
      </c>
      <c r="B21" s="70"/>
      <c r="C21" s="71"/>
      <c r="D21" s="72">
        <v>1414</v>
      </c>
      <c r="E21" s="72">
        <v>2114</v>
      </c>
      <c r="F21" s="72">
        <v>2489</v>
      </c>
      <c r="G21" s="72">
        <v>3808</v>
      </c>
      <c r="H21" s="72">
        <v>4212</v>
      </c>
      <c r="I21" s="72">
        <v>3080</v>
      </c>
      <c r="J21" s="72">
        <v>1861</v>
      </c>
      <c r="K21" s="72">
        <v>2003</v>
      </c>
      <c r="L21" s="72">
        <v>2944</v>
      </c>
      <c r="M21" s="72">
        <v>3274</v>
      </c>
      <c r="N21" s="72">
        <v>2377</v>
      </c>
      <c r="O21" s="72">
        <v>1517</v>
      </c>
      <c r="P21" s="72">
        <v>1204</v>
      </c>
      <c r="Q21" s="72">
        <v>1442</v>
      </c>
      <c r="R21" s="72">
        <v>1557</v>
      </c>
      <c r="S21" s="72">
        <v>1181</v>
      </c>
      <c r="T21" s="94">
        <v>1080</v>
      </c>
      <c r="U21" s="295">
        <v>843</v>
      </c>
      <c r="V21" s="295">
        <v>824</v>
      </c>
      <c r="W21" s="295">
        <v>750</v>
      </c>
      <c r="X21" s="353">
        <v>893</v>
      </c>
      <c r="Y21" s="353">
        <v>1006</v>
      </c>
    </row>
    <row r="22" spans="1:25" ht="19.5" customHeight="1">
      <c r="A22" s="80" t="s">
        <v>14</v>
      </c>
      <c r="B22" s="70"/>
      <c r="C22" s="71"/>
      <c r="D22" s="72">
        <v>127</v>
      </c>
      <c r="E22" s="72">
        <v>182</v>
      </c>
      <c r="F22" s="72">
        <v>273</v>
      </c>
      <c r="G22" s="72">
        <v>347</v>
      </c>
      <c r="H22" s="72">
        <v>415</v>
      </c>
      <c r="I22" s="72">
        <v>197</v>
      </c>
      <c r="J22" s="72">
        <v>197</v>
      </c>
      <c r="K22" s="72">
        <v>103</v>
      </c>
      <c r="L22" s="72">
        <v>107</v>
      </c>
      <c r="M22" s="72">
        <v>83</v>
      </c>
      <c r="N22" s="72">
        <v>83</v>
      </c>
      <c r="O22" s="72">
        <v>114</v>
      </c>
      <c r="P22" s="72">
        <v>52</v>
      </c>
      <c r="Q22" s="72">
        <v>32</v>
      </c>
      <c r="R22" s="72">
        <v>64</v>
      </c>
      <c r="S22" s="72">
        <v>49</v>
      </c>
      <c r="T22" s="94">
        <v>20</v>
      </c>
      <c r="U22" s="295"/>
      <c r="V22" s="295"/>
      <c r="W22" s="295"/>
      <c r="X22" s="353"/>
      <c r="Y22" s="353"/>
    </row>
    <row r="23" spans="1:25" ht="19.5" customHeight="1">
      <c r="A23" s="191" t="s">
        <v>198</v>
      </c>
      <c r="B23" s="70"/>
      <c r="C23" s="71"/>
      <c r="D23" s="72">
        <v>97</v>
      </c>
      <c r="E23" s="72">
        <v>104</v>
      </c>
      <c r="F23" s="72">
        <v>119</v>
      </c>
      <c r="G23" s="72">
        <v>63</v>
      </c>
      <c r="H23" s="72">
        <v>68</v>
      </c>
      <c r="I23" s="72">
        <v>57</v>
      </c>
      <c r="J23" s="72">
        <v>46</v>
      </c>
      <c r="K23" s="72">
        <v>53</v>
      </c>
      <c r="L23" s="72">
        <v>96</v>
      </c>
      <c r="M23" s="72">
        <v>53</v>
      </c>
      <c r="N23" s="72">
        <v>103</v>
      </c>
      <c r="O23" s="72">
        <v>107</v>
      </c>
      <c r="P23" s="72">
        <v>71</v>
      </c>
      <c r="Q23" s="72">
        <v>0</v>
      </c>
      <c r="R23" s="72"/>
      <c r="S23" s="72">
        <v>34</v>
      </c>
      <c r="T23" s="94">
        <v>18</v>
      </c>
      <c r="U23" s="295"/>
      <c r="V23" s="295"/>
      <c r="W23" s="295"/>
      <c r="X23" s="353"/>
      <c r="Y23" s="353"/>
    </row>
    <row r="24" spans="1:25" ht="19.5" customHeight="1">
      <c r="A24" s="193" t="s">
        <v>199</v>
      </c>
      <c r="B24" s="70"/>
      <c r="C24" s="71"/>
      <c r="D24" s="72">
        <v>2407</v>
      </c>
      <c r="E24" s="72">
        <v>3088</v>
      </c>
      <c r="F24" s="72">
        <v>2407</v>
      </c>
      <c r="G24" s="72">
        <f>1837+1988</f>
        <v>3825</v>
      </c>
      <c r="H24" s="72">
        <f>1829+1476</f>
        <v>3305</v>
      </c>
      <c r="I24" s="72">
        <f>1254+2182</f>
        <v>3436</v>
      </c>
      <c r="J24" s="72">
        <f>1669+2453</f>
        <v>4122</v>
      </c>
      <c r="K24" s="72">
        <f>2044+2097</f>
        <v>4141</v>
      </c>
      <c r="L24" s="72">
        <v>4336</v>
      </c>
      <c r="M24" s="72">
        <v>4336</v>
      </c>
      <c r="N24" s="72">
        <v>4171</v>
      </c>
      <c r="O24" s="72">
        <v>3886</v>
      </c>
      <c r="P24" s="72">
        <v>3970</v>
      </c>
      <c r="Q24" s="72">
        <v>3121</v>
      </c>
      <c r="R24" s="72">
        <v>2560</v>
      </c>
      <c r="S24" s="72">
        <v>2432</v>
      </c>
      <c r="T24" s="94">
        <v>2150</v>
      </c>
      <c r="U24" s="295">
        <v>1964</v>
      </c>
      <c r="V24" s="295">
        <v>1996</v>
      </c>
      <c r="W24" s="295">
        <v>1875</v>
      </c>
      <c r="X24" s="353">
        <v>2325</v>
      </c>
      <c r="Y24" s="353">
        <v>2203</v>
      </c>
    </row>
    <row r="25" spans="1:25" ht="19.5" customHeight="1">
      <c r="A25" s="80" t="s">
        <v>17</v>
      </c>
      <c r="B25" s="70"/>
      <c r="C25" s="71"/>
      <c r="D25" s="72">
        <v>5636</v>
      </c>
      <c r="E25" s="72">
        <v>6140</v>
      </c>
      <c r="F25" s="72">
        <v>6140</v>
      </c>
      <c r="G25" s="72">
        <f>4530+2124</f>
        <v>6654</v>
      </c>
      <c r="H25" s="72">
        <f>4198+2261</f>
        <v>6459</v>
      </c>
      <c r="I25" s="72">
        <f>2304+3019</f>
        <v>5323</v>
      </c>
      <c r="J25" s="72">
        <f>3429+4003</f>
        <v>7432</v>
      </c>
      <c r="K25" s="72">
        <f>4072+4737</f>
        <v>8809</v>
      </c>
      <c r="L25" s="72">
        <v>9248</v>
      </c>
      <c r="M25" s="72">
        <v>8435</v>
      </c>
      <c r="N25" s="72">
        <v>6971</v>
      </c>
      <c r="O25" s="72">
        <v>4328</v>
      </c>
      <c r="P25" s="72">
        <v>4266</v>
      </c>
      <c r="Q25" s="72">
        <v>3589</v>
      </c>
      <c r="R25" s="72">
        <v>3604</v>
      </c>
      <c r="S25" s="72">
        <v>3210</v>
      </c>
      <c r="T25" s="94">
        <v>2157</v>
      </c>
      <c r="U25" s="295">
        <v>2064</v>
      </c>
      <c r="V25" s="295">
        <v>2154</v>
      </c>
      <c r="W25" s="295">
        <v>2546</v>
      </c>
      <c r="X25" s="353">
        <v>2636</v>
      </c>
      <c r="Y25" s="353">
        <v>2895</v>
      </c>
    </row>
    <row r="26" spans="1:25" ht="19.5" customHeight="1">
      <c r="A26" s="80" t="s">
        <v>47</v>
      </c>
      <c r="B26" s="70"/>
      <c r="C26" s="71"/>
      <c r="D26" s="72">
        <v>1088</v>
      </c>
      <c r="E26" s="72">
        <v>1383</v>
      </c>
      <c r="F26" s="72">
        <v>2108</v>
      </c>
      <c r="G26" s="72">
        <v>1049</v>
      </c>
      <c r="H26" s="72">
        <v>731</v>
      </c>
      <c r="I26" s="72">
        <v>609</v>
      </c>
      <c r="J26" s="72">
        <v>991</v>
      </c>
      <c r="K26" s="72">
        <v>1237</v>
      </c>
      <c r="L26" s="72">
        <v>1773</v>
      </c>
      <c r="M26" s="72">
        <v>1918</v>
      </c>
      <c r="N26" s="72">
        <v>1746</v>
      </c>
      <c r="O26" s="72">
        <v>1389</v>
      </c>
      <c r="P26" s="72">
        <v>1006</v>
      </c>
      <c r="Q26" s="72">
        <v>489</v>
      </c>
      <c r="R26" s="72">
        <v>739</v>
      </c>
      <c r="S26" s="72">
        <v>1347</v>
      </c>
      <c r="T26" s="94">
        <v>1356</v>
      </c>
      <c r="U26" s="295">
        <v>808</v>
      </c>
      <c r="V26" s="295">
        <v>1543</v>
      </c>
      <c r="W26" s="295">
        <v>1131</v>
      </c>
      <c r="X26" s="353">
        <v>1212</v>
      </c>
      <c r="Y26" s="353">
        <v>1270</v>
      </c>
    </row>
    <row r="27" spans="1:25" ht="19.5" customHeight="1">
      <c r="A27" s="80" t="s">
        <v>18</v>
      </c>
      <c r="B27" s="70"/>
      <c r="C27" s="71"/>
      <c r="D27" s="72">
        <v>5080</v>
      </c>
      <c r="E27" s="72">
        <v>5943</v>
      </c>
      <c r="F27" s="72">
        <v>5156</v>
      </c>
      <c r="G27" s="72">
        <v>2524</v>
      </c>
      <c r="H27" s="72">
        <v>1876</v>
      </c>
      <c r="I27" s="72">
        <v>2132</v>
      </c>
      <c r="J27" s="72">
        <v>3228</v>
      </c>
      <c r="K27" s="72">
        <v>4461</v>
      </c>
      <c r="L27" s="72">
        <v>4421</v>
      </c>
      <c r="M27" s="72">
        <v>3165</v>
      </c>
      <c r="N27" s="72">
        <v>2400</v>
      </c>
      <c r="O27" s="72">
        <v>2056</v>
      </c>
      <c r="P27" s="72">
        <v>2931</v>
      </c>
      <c r="Q27" s="72">
        <v>2760</v>
      </c>
      <c r="R27" s="72">
        <v>2716</v>
      </c>
      <c r="S27" s="72">
        <v>3176</v>
      </c>
      <c r="T27" s="94">
        <v>2829</v>
      </c>
      <c r="U27" s="295">
        <v>3157</v>
      </c>
      <c r="V27" s="295">
        <v>1943</v>
      </c>
      <c r="W27" s="295">
        <v>2611</v>
      </c>
      <c r="X27" s="353">
        <v>2984</v>
      </c>
      <c r="Y27" s="353">
        <v>2933</v>
      </c>
    </row>
    <row r="28" spans="1:25" ht="19.5" customHeight="1">
      <c r="A28" s="80" t="s">
        <v>19</v>
      </c>
      <c r="B28" s="70"/>
      <c r="C28" s="71"/>
      <c r="D28" s="72">
        <v>674</v>
      </c>
      <c r="E28" s="72">
        <v>1244</v>
      </c>
      <c r="F28" s="72">
        <v>202</v>
      </c>
      <c r="G28" s="72">
        <v>192</v>
      </c>
      <c r="H28" s="72" t="s">
        <v>39</v>
      </c>
      <c r="I28" s="72">
        <v>600</v>
      </c>
      <c r="J28" s="72">
        <v>101</v>
      </c>
      <c r="K28" s="72">
        <v>411</v>
      </c>
      <c r="L28" s="72">
        <v>466</v>
      </c>
      <c r="M28" s="72">
        <f>56+75+44+266+2</f>
        <v>443</v>
      </c>
      <c r="N28" s="72">
        <f>96+115+31+163+5</f>
        <v>410</v>
      </c>
      <c r="O28" s="72">
        <v>171</v>
      </c>
      <c r="P28" s="72">
        <v>179</v>
      </c>
      <c r="Q28" s="72">
        <v>76</v>
      </c>
      <c r="R28" s="72">
        <f>12967-12275</f>
        <v>692</v>
      </c>
      <c r="S28" s="72">
        <v>1164</v>
      </c>
      <c r="T28" s="295">
        <f>1316-31</f>
        <v>1285</v>
      </c>
      <c r="U28" s="295">
        <v>1266</v>
      </c>
      <c r="V28" s="295">
        <f>10934-10101</f>
        <v>833</v>
      </c>
      <c r="W28" s="295">
        <f>12401-10658</f>
        <v>1743</v>
      </c>
      <c r="X28" s="353">
        <v>1478</v>
      </c>
      <c r="Y28" s="353"/>
    </row>
    <row r="29" spans="1:25" ht="19.5" customHeight="1">
      <c r="A29" s="138" t="s">
        <v>20</v>
      </c>
      <c r="B29" s="139"/>
      <c r="C29" s="140"/>
      <c r="D29" s="141">
        <v>18454</v>
      </c>
      <c r="E29" s="141">
        <v>22474</v>
      </c>
      <c r="F29" s="141">
        <v>23590</v>
      </c>
      <c r="G29" s="141">
        <v>22012</v>
      </c>
      <c r="H29" s="141">
        <v>20977</v>
      </c>
      <c r="I29" s="141">
        <v>17795</v>
      </c>
      <c r="J29" s="141">
        <v>19969</v>
      </c>
      <c r="K29" s="141">
        <f aca="true" t="shared" si="1" ref="K29:P29">SUM(K18:K28)</f>
        <v>23385</v>
      </c>
      <c r="L29" s="141">
        <f t="shared" si="1"/>
        <v>26271</v>
      </c>
      <c r="M29" s="141">
        <f t="shared" si="1"/>
        <v>24947</v>
      </c>
      <c r="N29" s="141">
        <f t="shared" si="1"/>
        <v>21986</v>
      </c>
      <c r="O29" s="141">
        <f>SUM(O18:O28)</f>
        <v>17497</v>
      </c>
      <c r="P29" s="141">
        <f t="shared" si="1"/>
        <v>17370</v>
      </c>
      <c r="Q29" s="141">
        <f aca="true" t="shared" si="2" ref="Q29:Y29">SUM(Q18:Q28)</f>
        <v>12844</v>
      </c>
      <c r="R29" s="141">
        <f t="shared" si="2"/>
        <v>13031</v>
      </c>
      <c r="S29" s="141">
        <f t="shared" si="2"/>
        <v>14292</v>
      </c>
      <c r="T29" s="262">
        <f t="shared" si="2"/>
        <v>12922</v>
      </c>
      <c r="U29" s="296">
        <f t="shared" si="2"/>
        <v>12154</v>
      </c>
      <c r="V29" s="296">
        <f t="shared" si="2"/>
        <v>10934</v>
      </c>
      <c r="W29" s="296">
        <f t="shared" si="2"/>
        <v>12401</v>
      </c>
      <c r="X29" s="354">
        <f t="shared" si="2"/>
        <v>13411</v>
      </c>
      <c r="Y29" s="354">
        <f t="shared" si="2"/>
        <v>12510</v>
      </c>
    </row>
    <row r="30" spans="1:25" ht="19.5" customHeight="1">
      <c r="A30" s="69" t="s">
        <v>21</v>
      </c>
      <c r="B30" s="70"/>
      <c r="C30" s="71"/>
      <c r="D30" s="72">
        <v>2557</v>
      </c>
      <c r="E30" s="72">
        <v>3806</v>
      </c>
      <c r="F30" s="72">
        <v>5232</v>
      </c>
      <c r="G30" s="72">
        <v>5740</v>
      </c>
      <c r="H30" s="72">
        <v>3706</v>
      </c>
      <c r="I30" s="72">
        <v>1940</v>
      </c>
      <c r="J30" s="72">
        <v>2417</v>
      </c>
      <c r="K30" s="72">
        <v>3271</v>
      </c>
      <c r="L30" s="72">
        <v>3707</v>
      </c>
      <c r="M30" s="72">
        <v>4281</v>
      </c>
      <c r="N30" s="72">
        <v>4006</v>
      </c>
      <c r="O30" s="72">
        <v>2741</v>
      </c>
      <c r="P30" s="72">
        <v>4428</v>
      </c>
      <c r="Q30" s="72">
        <v>4236</v>
      </c>
      <c r="R30" s="72">
        <v>3177</v>
      </c>
      <c r="S30" s="72">
        <v>3807</v>
      </c>
      <c r="T30" s="94">
        <v>3405</v>
      </c>
      <c r="U30" s="295">
        <v>4476</v>
      </c>
      <c r="V30" s="295">
        <v>6362</v>
      </c>
      <c r="W30" s="295">
        <v>7833</v>
      </c>
      <c r="X30" s="353">
        <v>9968</v>
      </c>
      <c r="Y30" s="353">
        <v>10558</v>
      </c>
    </row>
    <row r="31" spans="1:25" ht="19.5" customHeight="1">
      <c r="A31" s="75" t="s">
        <v>22</v>
      </c>
      <c r="B31" s="76"/>
      <c r="C31" s="77"/>
      <c r="D31" s="72">
        <v>55</v>
      </c>
      <c r="E31" s="72">
        <v>62</v>
      </c>
      <c r="F31" s="72">
        <v>41</v>
      </c>
      <c r="G31" s="72">
        <v>226</v>
      </c>
      <c r="H31" s="72">
        <v>202</v>
      </c>
      <c r="I31" s="72">
        <v>95</v>
      </c>
      <c r="J31" s="72">
        <v>84</v>
      </c>
      <c r="K31" s="72">
        <v>102</v>
      </c>
      <c r="L31" s="72">
        <v>236</v>
      </c>
      <c r="M31" s="72">
        <v>229</v>
      </c>
      <c r="N31" s="72">
        <v>82</v>
      </c>
      <c r="O31" s="72"/>
      <c r="P31" s="72"/>
      <c r="Q31" s="72">
        <v>10</v>
      </c>
      <c r="R31" s="72"/>
      <c r="S31" s="72">
        <v>49</v>
      </c>
      <c r="T31" s="94">
        <v>15</v>
      </c>
      <c r="U31" s="295">
        <v>5</v>
      </c>
      <c r="V31" s="295">
        <v>7</v>
      </c>
      <c r="W31" s="295"/>
      <c r="X31" s="353"/>
      <c r="Y31" s="353"/>
    </row>
    <row r="32" spans="1:25" ht="19.5" customHeight="1">
      <c r="A32" s="69" t="s">
        <v>23</v>
      </c>
      <c r="B32" s="70"/>
      <c r="C32" s="71"/>
      <c r="D32" s="72">
        <v>10718</v>
      </c>
      <c r="E32" s="72">
        <v>12267</v>
      </c>
      <c r="F32" s="72">
        <v>13676</v>
      </c>
      <c r="G32" s="72">
        <v>15050</v>
      </c>
      <c r="H32" s="72">
        <v>13122</v>
      </c>
      <c r="I32" s="72">
        <v>10339</v>
      </c>
      <c r="J32" s="72">
        <v>10789</v>
      </c>
      <c r="K32" s="72">
        <v>11941</v>
      </c>
      <c r="L32" s="72">
        <v>12401</v>
      </c>
      <c r="M32" s="72">
        <v>14526</v>
      </c>
      <c r="N32" s="72">
        <v>16821</v>
      </c>
      <c r="O32" s="72">
        <v>13899</v>
      </c>
      <c r="P32" s="72">
        <v>12737</v>
      </c>
      <c r="Q32" s="72">
        <v>11595</v>
      </c>
      <c r="R32" s="72">
        <v>12040</v>
      </c>
      <c r="S32" s="72">
        <v>11548</v>
      </c>
      <c r="T32" s="94">
        <v>10618</v>
      </c>
      <c r="U32" s="295">
        <v>11678</v>
      </c>
      <c r="V32" s="295">
        <v>15530</v>
      </c>
      <c r="W32" s="295">
        <v>19465</v>
      </c>
      <c r="X32" s="353">
        <v>24685</v>
      </c>
      <c r="Y32" s="353">
        <v>27014</v>
      </c>
    </row>
    <row r="33" spans="1:25" ht="19.5" customHeight="1">
      <c r="A33" s="75" t="s">
        <v>24</v>
      </c>
      <c r="B33" s="70"/>
      <c r="C33" s="71"/>
      <c r="D33" s="72">
        <v>3466</v>
      </c>
      <c r="E33" s="72">
        <v>2966</v>
      </c>
      <c r="F33" s="72">
        <v>2587</v>
      </c>
      <c r="G33" s="72">
        <v>2986</v>
      </c>
      <c r="H33" s="72">
        <v>4021</v>
      </c>
      <c r="I33" s="72">
        <v>4554</v>
      </c>
      <c r="J33" s="72">
        <v>4337</v>
      </c>
      <c r="K33" s="72">
        <v>4937</v>
      </c>
      <c r="L33" s="72">
        <v>4590</v>
      </c>
      <c r="M33" s="72">
        <f>7+395+258</f>
        <v>660</v>
      </c>
      <c r="N33" s="72">
        <v>604</v>
      </c>
      <c r="O33" s="72">
        <v>1094</v>
      </c>
      <c r="P33" s="72">
        <v>2511</v>
      </c>
      <c r="Q33" s="72">
        <v>1093</v>
      </c>
      <c r="R33" s="72">
        <v>651</v>
      </c>
      <c r="S33" s="72">
        <v>2111</v>
      </c>
      <c r="T33" s="94">
        <v>1586</v>
      </c>
      <c r="U33" s="295">
        <v>1527</v>
      </c>
      <c r="V33" s="295">
        <v>1868</v>
      </c>
      <c r="W33" s="295">
        <v>2361</v>
      </c>
      <c r="X33" s="353">
        <v>2102</v>
      </c>
      <c r="Y33" s="353">
        <v>211</v>
      </c>
    </row>
    <row r="34" spans="1:25" ht="19.5" customHeight="1">
      <c r="A34" s="69" t="s">
        <v>25</v>
      </c>
      <c r="B34" s="70"/>
      <c r="C34" s="71"/>
      <c r="D34" s="72">
        <v>357</v>
      </c>
      <c r="E34" s="72">
        <v>545</v>
      </c>
      <c r="F34" s="72">
        <v>982</v>
      </c>
      <c r="G34" s="72">
        <v>901</v>
      </c>
      <c r="H34" s="72">
        <v>2723</v>
      </c>
      <c r="I34" s="72">
        <v>3333</v>
      </c>
      <c r="J34" s="72">
        <v>1978</v>
      </c>
      <c r="K34" s="72">
        <v>1877</v>
      </c>
      <c r="L34" s="72">
        <v>2291</v>
      </c>
      <c r="M34" s="72">
        <v>2263</v>
      </c>
      <c r="N34" s="72">
        <v>1416</v>
      </c>
      <c r="O34" s="72">
        <v>1846</v>
      </c>
      <c r="P34" s="72">
        <v>2146</v>
      </c>
      <c r="Q34" s="72">
        <v>3371</v>
      </c>
      <c r="R34" s="72">
        <v>1953</v>
      </c>
      <c r="S34" s="72">
        <v>1686</v>
      </c>
      <c r="T34" s="94">
        <v>1846</v>
      </c>
      <c r="U34" s="295">
        <v>2546</v>
      </c>
      <c r="V34" s="295">
        <v>3251</v>
      </c>
      <c r="W34" s="295">
        <v>3029</v>
      </c>
      <c r="X34" s="353">
        <v>2947</v>
      </c>
      <c r="Y34" s="353">
        <v>1535</v>
      </c>
    </row>
    <row r="35" spans="1:25" ht="19.5" customHeight="1">
      <c r="A35" s="69" t="s">
        <v>26</v>
      </c>
      <c r="B35" s="70"/>
      <c r="C35" s="71"/>
      <c r="D35" s="72">
        <v>249</v>
      </c>
      <c r="E35" s="72">
        <v>386</v>
      </c>
      <c r="F35" s="72">
        <v>699</v>
      </c>
      <c r="G35" s="72">
        <v>1331</v>
      </c>
      <c r="H35" s="72">
        <v>2349</v>
      </c>
      <c r="I35" s="72">
        <v>1592</v>
      </c>
      <c r="J35" s="72">
        <v>733</v>
      </c>
      <c r="K35" s="72">
        <v>718</v>
      </c>
      <c r="L35" s="72">
        <v>566</v>
      </c>
      <c r="M35" s="72">
        <v>508</v>
      </c>
      <c r="N35" s="72">
        <v>255</v>
      </c>
      <c r="O35" s="72">
        <v>176</v>
      </c>
      <c r="P35" s="72">
        <v>180</v>
      </c>
      <c r="Q35" s="72">
        <v>599</v>
      </c>
      <c r="R35" s="72">
        <v>106</v>
      </c>
      <c r="S35" s="72">
        <v>110</v>
      </c>
      <c r="T35" s="94">
        <v>296</v>
      </c>
      <c r="U35" s="295">
        <v>376</v>
      </c>
      <c r="V35" s="295">
        <v>360</v>
      </c>
      <c r="W35" s="295">
        <v>525</v>
      </c>
      <c r="X35" s="353">
        <v>348</v>
      </c>
      <c r="Y35" s="353"/>
    </row>
    <row r="36" spans="1:25" ht="19.5" customHeight="1">
      <c r="A36" s="69" t="s">
        <v>27</v>
      </c>
      <c r="B36" s="70"/>
      <c r="C36" s="71"/>
      <c r="D36" s="72">
        <v>20192</v>
      </c>
      <c r="E36" s="72">
        <v>24979</v>
      </c>
      <c r="F36" s="72">
        <v>20914</v>
      </c>
      <c r="G36" s="72">
        <v>14950</v>
      </c>
      <c r="H36" s="72">
        <v>17739</v>
      </c>
      <c r="I36" s="72">
        <v>14473</v>
      </c>
      <c r="J36" s="72">
        <v>14130</v>
      </c>
      <c r="K36" s="72">
        <v>13555</v>
      </c>
      <c r="L36" s="72">
        <v>11194</v>
      </c>
      <c r="M36" s="72">
        <v>8223</v>
      </c>
      <c r="N36" s="72">
        <v>6063</v>
      </c>
      <c r="O36" s="72">
        <v>3777</v>
      </c>
      <c r="P36" s="72">
        <v>5772</v>
      </c>
      <c r="Q36" s="72">
        <v>10599</v>
      </c>
      <c r="R36" s="72">
        <v>6723</v>
      </c>
      <c r="S36" s="72">
        <v>4913</v>
      </c>
      <c r="T36" s="275">
        <v>4843</v>
      </c>
      <c r="U36" s="295">
        <v>5490</v>
      </c>
      <c r="V36" s="295">
        <v>7642</v>
      </c>
      <c r="W36" s="295">
        <v>9702</v>
      </c>
      <c r="X36" s="353">
        <v>9357</v>
      </c>
      <c r="Y36" s="353">
        <v>2727</v>
      </c>
    </row>
    <row r="37" spans="1:25" ht="19.5" customHeight="1">
      <c r="A37" s="69" t="s">
        <v>28</v>
      </c>
      <c r="B37" s="70"/>
      <c r="C37" s="71"/>
      <c r="D37" s="72">
        <v>922</v>
      </c>
      <c r="E37" s="72">
        <v>842</v>
      </c>
      <c r="F37" s="72">
        <v>1273</v>
      </c>
      <c r="G37" s="72">
        <v>938</v>
      </c>
      <c r="H37" s="72">
        <v>310</v>
      </c>
      <c r="I37" s="72">
        <f>I38-SUM(I30:I36)</f>
        <v>1149</v>
      </c>
      <c r="J37" s="72">
        <f>J38-SUM(J30:J36)</f>
        <v>742</v>
      </c>
      <c r="K37" s="94" t="s">
        <v>98</v>
      </c>
      <c r="L37" s="72"/>
      <c r="M37" s="72">
        <f>13+40+2+402</f>
        <v>457</v>
      </c>
      <c r="N37" s="72">
        <f>49+36+2+276</f>
        <v>363</v>
      </c>
      <c r="O37" s="72">
        <f>568+244</f>
        <v>812</v>
      </c>
      <c r="P37" s="72">
        <f>852+654+96</f>
        <v>1602</v>
      </c>
      <c r="Q37" s="72">
        <v>1397</v>
      </c>
      <c r="R37" s="72">
        <f>75+777+909</f>
        <v>1761</v>
      </c>
      <c r="S37" s="72">
        <v>2335</v>
      </c>
      <c r="T37" s="94">
        <f>126+537+7+67+70</f>
        <v>807</v>
      </c>
      <c r="U37" s="295">
        <v>3087</v>
      </c>
      <c r="V37" s="295">
        <v>3420</v>
      </c>
      <c r="W37" s="295">
        <f>46651-42915</f>
        <v>3736</v>
      </c>
      <c r="X37" s="353">
        <v>4026</v>
      </c>
      <c r="Y37" s="353">
        <v>3797</v>
      </c>
    </row>
    <row r="38" spans="1:25" ht="19.5" customHeight="1">
      <c r="A38" s="138" t="s">
        <v>29</v>
      </c>
      <c r="B38" s="139"/>
      <c r="C38" s="140"/>
      <c r="D38" s="141">
        <v>38516</v>
      </c>
      <c r="E38" s="141">
        <v>45853</v>
      </c>
      <c r="F38" s="141">
        <v>45404</v>
      </c>
      <c r="G38" s="141">
        <v>42210</v>
      </c>
      <c r="H38" s="141">
        <v>45407</v>
      </c>
      <c r="I38" s="142">
        <f>24229+13246</f>
        <v>37475</v>
      </c>
      <c r="J38" s="142">
        <f>21309+13901</f>
        <v>35210</v>
      </c>
      <c r="K38" s="141">
        <f aca="true" t="shared" si="3" ref="K38:P38">SUM(K30:K37)</f>
        <v>36401</v>
      </c>
      <c r="L38" s="141">
        <f t="shared" si="3"/>
        <v>34985</v>
      </c>
      <c r="M38" s="141">
        <f t="shared" si="3"/>
        <v>31147</v>
      </c>
      <c r="N38" s="141">
        <f t="shared" si="3"/>
        <v>29610</v>
      </c>
      <c r="O38" s="141">
        <f>SUM(O30:O37)</f>
        <v>24345</v>
      </c>
      <c r="P38" s="141">
        <f t="shared" si="3"/>
        <v>29376</v>
      </c>
      <c r="Q38" s="141">
        <f aca="true" t="shared" si="4" ref="Q38:Y38">SUM(Q30:Q37)</f>
        <v>32900</v>
      </c>
      <c r="R38" s="141">
        <f t="shared" si="4"/>
        <v>26411</v>
      </c>
      <c r="S38" s="141">
        <f t="shared" si="4"/>
        <v>26559</v>
      </c>
      <c r="T38" s="262">
        <f t="shared" si="4"/>
        <v>23416</v>
      </c>
      <c r="U38" s="296">
        <f t="shared" si="4"/>
        <v>29185</v>
      </c>
      <c r="V38" s="296">
        <f t="shared" si="4"/>
        <v>38440</v>
      </c>
      <c r="W38" s="296">
        <f t="shared" si="4"/>
        <v>46651</v>
      </c>
      <c r="X38" s="354">
        <f t="shared" si="4"/>
        <v>53433</v>
      </c>
      <c r="Y38" s="354">
        <f t="shared" si="4"/>
        <v>45842</v>
      </c>
    </row>
    <row r="39" spans="1:25" ht="19.5" customHeight="1">
      <c r="A39" s="69" t="s">
        <v>94</v>
      </c>
      <c r="B39" s="70"/>
      <c r="C39" s="71"/>
      <c r="D39" s="72">
        <v>8727</v>
      </c>
      <c r="E39" s="72">
        <v>8364</v>
      </c>
      <c r="F39" s="72">
        <v>9584</v>
      </c>
      <c r="G39" s="72">
        <v>11024</v>
      </c>
      <c r="H39" s="72">
        <v>12634</v>
      </c>
      <c r="I39" s="72">
        <v>16164</v>
      </c>
      <c r="J39" s="72">
        <v>16603</v>
      </c>
      <c r="K39" s="72">
        <v>13901</v>
      </c>
      <c r="L39" s="72">
        <v>13970</v>
      </c>
      <c r="M39" s="72">
        <v>11253</v>
      </c>
      <c r="N39" s="73">
        <v>11221</v>
      </c>
      <c r="O39" s="73">
        <v>13357</v>
      </c>
      <c r="P39" s="72">
        <v>10011</v>
      </c>
      <c r="Q39" s="73">
        <v>8374</v>
      </c>
      <c r="R39" s="73">
        <v>12271</v>
      </c>
      <c r="S39" s="73">
        <v>13557</v>
      </c>
      <c r="T39" s="297">
        <v>10782</v>
      </c>
      <c r="U39" s="297">
        <v>10897</v>
      </c>
      <c r="V39" s="297">
        <v>15357</v>
      </c>
      <c r="W39" s="297">
        <v>17829</v>
      </c>
      <c r="X39" s="355">
        <v>18882</v>
      </c>
      <c r="Y39" s="355"/>
    </row>
    <row r="40" spans="1:25" ht="19.5" customHeight="1">
      <c r="A40" s="69" t="s">
        <v>31</v>
      </c>
      <c r="B40" s="70"/>
      <c r="C40" s="71"/>
      <c r="D40" s="73">
        <v>938</v>
      </c>
      <c r="E40" s="73">
        <v>986</v>
      </c>
      <c r="F40" s="72">
        <v>1445</v>
      </c>
      <c r="G40" s="73">
        <v>845</v>
      </c>
      <c r="H40" s="73">
        <v>452</v>
      </c>
      <c r="I40" s="72">
        <v>446</v>
      </c>
      <c r="J40" s="72">
        <v>566</v>
      </c>
      <c r="K40" s="72">
        <v>1116</v>
      </c>
      <c r="L40" s="72">
        <v>1252</v>
      </c>
      <c r="M40" s="72">
        <v>462</v>
      </c>
      <c r="N40" s="73">
        <v>698</v>
      </c>
      <c r="O40" s="73">
        <v>522</v>
      </c>
      <c r="P40" s="72">
        <v>784</v>
      </c>
      <c r="Q40" s="73">
        <v>908</v>
      </c>
      <c r="R40" s="73">
        <v>801</v>
      </c>
      <c r="S40" s="73">
        <v>506</v>
      </c>
      <c r="T40" s="297">
        <v>568</v>
      </c>
      <c r="U40" s="297">
        <v>507</v>
      </c>
      <c r="V40" s="297">
        <v>778</v>
      </c>
      <c r="W40" s="297">
        <v>1268</v>
      </c>
      <c r="X40" s="355">
        <v>1536</v>
      </c>
      <c r="Y40" s="355">
        <v>814</v>
      </c>
    </row>
    <row r="41" spans="1:25" ht="19.5" customHeight="1">
      <c r="A41" s="45" t="s">
        <v>93</v>
      </c>
      <c r="B41" s="70"/>
      <c r="C41" s="71"/>
      <c r="D41" s="72">
        <v>3867</v>
      </c>
      <c r="E41" s="72">
        <v>3949</v>
      </c>
      <c r="F41" s="72">
        <v>4210</v>
      </c>
      <c r="G41" s="72">
        <v>3423</v>
      </c>
      <c r="H41" s="376">
        <v>3426</v>
      </c>
      <c r="I41" s="376">
        <v>3335</v>
      </c>
      <c r="J41" s="376">
        <v>3660</v>
      </c>
      <c r="K41" s="376">
        <v>4520</v>
      </c>
      <c r="L41" s="382">
        <v>3889</v>
      </c>
      <c r="M41" s="382">
        <v>8020</v>
      </c>
      <c r="N41" s="382">
        <v>8202</v>
      </c>
      <c r="O41" s="382">
        <f>12600+175</f>
        <v>12775</v>
      </c>
      <c r="P41" s="382">
        <v>13656</v>
      </c>
      <c r="Q41" s="382">
        <f>9447+33</f>
        <v>9480</v>
      </c>
      <c r="R41" s="382">
        <f>84+8683</f>
        <v>8767</v>
      </c>
      <c r="S41" s="382">
        <v>12199</v>
      </c>
      <c r="T41" s="380">
        <f>12010+53</f>
        <v>12063</v>
      </c>
      <c r="U41" s="380">
        <f>13580+59</f>
        <v>13639</v>
      </c>
      <c r="V41" s="380">
        <v>10689</v>
      </c>
      <c r="W41" s="380">
        <v>10375</v>
      </c>
      <c r="X41" s="380">
        <v>9740</v>
      </c>
      <c r="Y41" s="380">
        <v>14411</v>
      </c>
    </row>
    <row r="42" spans="1:25" ht="19.5" customHeight="1">
      <c r="A42" s="45" t="s">
        <v>92</v>
      </c>
      <c r="B42" s="70"/>
      <c r="C42" s="71"/>
      <c r="D42" s="72"/>
      <c r="E42" s="72"/>
      <c r="F42" s="72"/>
      <c r="G42" s="72"/>
      <c r="H42" s="377"/>
      <c r="I42" s="377"/>
      <c r="J42" s="377"/>
      <c r="K42" s="377"/>
      <c r="L42" s="383"/>
      <c r="M42" s="383"/>
      <c r="N42" s="383"/>
      <c r="O42" s="383"/>
      <c r="P42" s="383"/>
      <c r="Q42" s="383"/>
      <c r="R42" s="383"/>
      <c r="S42" s="383"/>
      <c r="T42" s="381"/>
      <c r="U42" s="381"/>
      <c r="V42" s="381"/>
      <c r="W42" s="381"/>
      <c r="X42" s="381"/>
      <c r="Y42" s="381"/>
    </row>
    <row r="43" spans="1:25" ht="19.5" customHeight="1">
      <c r="A43" s="69" t="s">
        <v>33</v>
      </c>
      <c r="B43" s="70"/>
      <c r="C43" s="71"/>
      <c r="D43" s="72">
        <v>6021</v>
      </c>
      <c r="E43" s="72">
        <v>6121</v>
      </c>
      <c r="F43" s="72">
        <v>6435</v>
      </c>
      <c r="G43" s="72">
        <v>5499</v>
      </c>
      <c r="H43" s="72">
        <v>4542</v>
      </c>
      <c r="I43" s="72">
        <v>4471</v>
      </c>
      <c r="J43" s="72">
        <v>5192</v>
      </c>
      <c r="K43" s="72">
        <v>6153</v>
      </c>
      <c r="L43" s="72">
        <v>6838</v>
      </c>
      <c r="M43" s="72">
        <v>8956</v>
      </c>
      <c r="N43" s="73">
        <v>9197</v>
      </c>
      <c r="O43" s="73">
        <v>6841</v>
      </c>
      <c r="P43" s="72">
        <v>10374</v>
      </c>
      <c r="Q43" s="73">
        <v>11172</v>
      </c>
      <c r="R43" s="73">
        <v>13603</v>
      </c>
      <c r="S43" s="73">
        <v>15016</v>
      </c>
      <c r="T43" s="297">
        <v>15397</v>
      </c>
      <c r="U43" s="297">
        <v>15699</v>
      </c>
      <c r="V43" s="297">
        <v>11903</v>
      </c>
      <c r="W43" s="297">
        <v>13992</v>
      </c>
      <c r="X43" s="355">
        <v>18543</v>
      </c>
      <c r="Y43" s="355"/>
    </row>
    <row r="44" spans="1:25" ht="19.5" customHeight="1">
      <c r="A44" s="69" t="s">
        <v>76</v>
      </c>
      <c r="B44" s="70"/>
      <c r="C44" s="71"/>
      <c r="D44" s="72">
        <v>920</v>
      </c>
      <c r="E44" s="72">
        <v>1430</v>
      </c>
      <c r="F44" s="72">
        <v>1401</v>
      </c>
      <c r="G44" s="72">
        <v>2902</v>
      </c>
      <c r="H44" s="72">
        <v>5478</v>
      </c>
      <c r="I44" s="72">
        <v>2264</v>
      </c>
      <c r="J44" s="72">
        <v>2606</v>
      </c>
      <c r="K44" s="72">
        <v>2895</v>
      </c>
      <c r="L44" s="72">
        <v>3097</v>
      </c>
      <c r="M44" s="72">
        <v>1770</v>
      </c>
      <c r="N44" s="73">
        <v>1822</v>
      </c>
      <c r="O44" s="73">
        <v>987</v>
      </c>
      <c r="P44" s="72">
        <v>1861</v>
      </c>
      <c r="Q44" s="73">
        <v>2416</v>
      </c>
      <c r="R44" s="73">
        <v>1923</v>
      </c>
      <c r="S44" s="73">
        <v>1561</v>
      </c>
      <c r="T44" s="297">
        <v>1879</v>
      </c>
      <c r="U44" s="297">
        <v>3935</v>
      </c>
      <c r="V44" s="297">
        <v>5597</v>
      </c>
      <c r="W44" s="297">
        <v>4223</v>
      </c>
      <c r="X44" s="355">
        <v>4971</v>
      </c>
      <c r="Y44" s="355"/>
    </row>
    <row r="45" spans="1:25" ht="19.5" customHeight="1">
      <c r="A45" s="69" t="s">
        <v>34</v>
      </c>
      <c r="B45" s="70"/>
      <c r="C45" s="71"/>
      <c r="D45" s="72">
        <v>15822</v>
      </c>
      <c r="E45" s="72">
        <v>14607</v>
      </c>
      <c r="F45" s="72">
        <v>15048</v>
      </c>
      <c r="G45" s="72">
        <v>14062</v>
      </c>
      <c r="H45" s="72">
        <v>14026</v>
      </c>
      <c r="I45" s="72">
        <v>13796</v>
      </c>
      <c r="J45" s="72">
        <v>14410</v>
      </c>
      <c r="K45" s="72">
        <v>14619</v>
      </c>
      <c r="L45" s="72">
        <v>14195</v>
      </c>
      <c r="M45" s="72">
        <v>13848</v>
      </c>
      <c r="N45" s="73">
        <v>14435</v>
      </c>
      <c r="O45" s="73">
        <v>14810</v>
      </c>
      <c r="P45" s="72">
        <v>15994</v>
      </c>
      <c r="Q45" s="73">
        <v>16760</v>
      </c>
      <c r="R45" s="73">
        <v>17301</v>
      </c>
      <c r="S45" s="73">
        <v>17461</v>
      </c>
      <c r="T45" s="297">
        <v>17815</v>
      </c>
      <c r="U45" s="297">
        <v>18751</v>
      </c>
      <c r="V45" s="297">
        <v>19398</v>
      </c>
      <c r="W45" s="297">
        <v>20016</v>
      </c>
      <c r="X45" s="355">
        <v>21131</v>
      </c>
      <c r="Y45" s="355"/>
    </row>
    <row r="46" spans="1:25" ht="19.5" customHeight="1">
      <c r="A46" s="69" t="s">
        <v>35</v>
      </c>
      <c r="B46" s="70"/>
      <c r="C46" s="71"/>
      <c r="D46" s="72">
        <v>10614</v>
      </c>
      <c r="E46" s="72">
        <v>11620</v>
      </c>
      <c r="F46" s="72">
        <v>12834</v>
      </c>
      <c r="G46" s="72">
        <v>12025</v>
      </c>
      <c r="H46" s="72">
        <v>11645</v>
      </c>
      <c r="I46" s="72">
        <v>11664</v>
      </c>
      <c r="J46" s="72">
        <v>13282</v>
      </c>
      <c r="K46" s="72">
        <v>14414</v>
      </c>
      <c r="L46" s="72">
        <v>15357</v>
      </c>
      <c r="M46" s="72">
        <v>16036</v>
      </c>
      <c r="N46" s="73">
        <v>14627</v>
      </c>
      <c r="O46" s="73">
        <v>12981</v>
      </c>
      <c r="P46" s="72">
        <v>16381</v>
      </c>
      <c r="Q46" s="73">
        <v>18479</v>
      </c>
      <c r="R46" s="73">
        <f>376+9799+8195</f>
        <v>18370</v>
      </c>
      <c r="S46" s="73">
        <v>18579</v>
      </c>
      <c r="T46" s="297">
        <v>19236</v>
      </c>
      <c r="U46" s="297">
        <v>20643</v>
      </c>
      <c r="V46" s="297">
        <v>22319</v>
      </c>
      <c r="W46" s="297">
        <v>24145</v>
      </c>
      <c r="X46" s="355">
        <v>24863</v>
      </c>
      <c r="Y46" s="355">
        <v>4847</v>
      </c>
    </row>
    <row r="47" spans="1:25" ht="17.25" customHeight="1">
      <c r="A47" s="69" t="s">
        <v>36</v>
      </c>
      <c r="B47" s="70"/>
      <c r="C47" s="71"/>
      <c r="D47" s="72">
        <v>4549</v>
      </c>
      <c r="E47" s="72">
        <v>4711</v>
      </c>
      <c r="F47" s="72">
        <v>3392</v>
      </c>
      <c r="G47" s="72">
        <v>2971</v>
      </c>
      <c r="H47" s="72">
        <v>2824</v>
      </c>
      <c r="I47" s="72">
        <v>3076</v>
      </c>
      <c r="J47" s="72">
        <v>3848</v>
      </c>
      <c r="K47" s="72">
        <v>4873</v>
      </c>
      <c r="L47" s="72">
        <v>3158</v>
      </c>
      <c r="M47" s="72">
        <v>3750</v>
      </c>
      <c r="N47" s="73">
        <v>4776</v>
      </c>
      <c r="O47" s="73">
        <v>4904</v>
      </c>
      <c r="P47" s="72">
        <v>3289</v>
      </c>
      <c r="Q47" s="73">
        <v>3041</v>
      </c>
      <c r="R47" s="73">
        <v>4272</v>
      </c>
      <c r="S47" s="73">
        <v>4164</v>
      </c>
      <c r="T47" s="297">
        <v>4313</v>
      </c>
      <c r="U47" s="297">
        <v>4333</v>
      </c>
      <c r="V47" s="297">
        <v>4191</v>
      </c>
      <c r="W47" s="297">
        <v>5170</v>
      </c>
      <c r="X47" s="355">
        <v>6632</v>
      </c>
      <c r="Y47" s="355"/>
    </row>
    <row r="48" spans="1:25" ht="19.5" customHeight="1">
      <c r="A48" s="69" t="s">
        <v>37</v>
      </c>
      <c r="B48" s="70"/>
      <c r="C48" s="71"/>
      <c r="D48" s="73"/>
      <c r="E48" s="73"/>
      <c r="F48" s="73"/>
      <c r="G48" s="73"/>
      <c r="H48" s="73"/>
      <c r="I48" s="72"/>
      <c r="J48" s="72"/>
      <c r="K48" s="74"/>
      <c r="L48" s="72"/>
      <c r="M48" s="72">
        <f>309718-306411</f>
        <v>3307</v>
      </c>
      <c r="N48" s="73">
        <f>313507-309814</f>
        <v>3693</v>
      </c>
      <c r="O48" s="73">
        <f>324081-320709</f>
        <v>3372</v>
      </c>
      <c r="P48" s="73">
        <v>1983</v>
      </c>
      <c r="Q48" s="73">
        <v>4038</v>
      </c>
      <c r="R48" s="73">
        <v>4443</v>
      </c>
      <c r="S48" s="73">
        <v>3454</v>
      </c>
      <c r="T48" s="297">
        <f>936+1875+6+97+36+535+1163</f>
        <v>4648</v>
      </c>
      <c r="U48" s="297">
        <v>3084</v>
      </c>
      <c r="V48" s="297">
        <v>3253</v>
      </c>
      <c r="W48" s="297">
        <f>379725-372794</f>
        <v>6931</v>
      </c>
      <c r="X48" s="355">
        <v>4884</v>
      </c>
      <c r="Y48" s="355"/>
    </row>
    <row r="49" spans="1:25" ht="19.5" customHeight="1">
      <c r="A49" s="138" t="s">
        <v>38</v>
      </c>
      <c r="B49" s="139"/>
      <c r="C49" s="140"/>
      <c r="D49" s="141">
        <v>325730</v>
      </c>
      <c r="E49" s="141">
        <v>352700</v>
      </c>
      <c r="F49" s="141">
        <v>346734</v>
      </c>
      <c r="G49" s="141">
        <v>334800</v>
      </c>
      <c r="H49" s="141">
        <v>335240</v>
      </c>
      <c r="I49" s="141">
        <v>330702</v>
      </c>
      <c r="J49" s="141">
        <v>289952</v>
      </c>
      <c r="K49" s="141">
        <f aca="true" t="shared" si="5" ref="K49:R49">+K39+K40+K41+K43+K44+K45+K46+K47+K38+K29+K17+K48</f>
        <v>340974</v>
      </c>
      <c r="L49" s="141">
        <f t="shared" si="5"/>
        <v>324575</v>
      </c>
      <c r="M49" s="141">
        <f t="shared" si="5"/>
        <v>309718</v>
      </c>
      <c r="N49" s="141">
        <f t="shared" si="5"/>
        <v>313507</v>
      </c>
      <c r="O49" s="141">
        <f t="shared" si="5"/>
        <v>324081</v>
      </c>
      <c r="P49" s="141">
        <f t="shared" si="5"/>
        <v>349803</v>
      </c>
      <c r="Q49" s="141">
        <f t="shared" si="5"/>
        <v>324534</v>
      </c>
      <c r="R49" s="141">
        <f t="shared" si="5"/>
        <v>316855</v>
      </c>
      <c r="S49" s="141">
        <f aca="true" t="shared" si="6" ref="S49:Y49">+S39+S40+S41+S43+S44+S45+S46+S47+S38+S29+S17+S48</f>
        <v>345068</v>
      </c>
      <c r="T49" s="262">
        <f t="shared" si="6"/>
        <v>360299</v>
      </c>
      <c r="U49" s="262">
        <f t="shared" si="6"/>
        <v>397273</v>
      </c>
      <c r="V49" s="262">
        <f t="shared" si="6"/>
        <v>387101</v>
      </c>
      <c r="W49" s="262">
        <f t="shared" si="6"/>
        <v>382725</v>
      </c>
      <c r="X49" s="262">
        <f t="shared" si="6"/>
        <v>383966</v>
      </c>
      <c r="Y49" s="262">
        <f t="shared" si="6"/>
        <v>202036</v>
      </c>
    </row>
    <row r="50" spans="6:7" ht="12.75">
      <c r="F50" s="67" t="s">
        <v>39</v>
      </c>
      <c r="G50" s="67" t="s">
        <v>39</v>
      </c>
    </row>
    <row r="51" spans="10:14" ht="12.75">
      <c r="J51" s="91"/>
      <c r="N51" s="91"/>
    </row>
    <row r="53" spans="20:22" ht="12.75">
      <c r="T53" s="263"/>
      <c r="U53" s="274"/>
      <c r="V53" s="274"/>
    </row>
  </sheetData>
  <sheetProtection/>
  <mergeCells count="19">
    <mergeCell ref="A2:I2"/>
    <mergeCell ref="H41:H42"/>
    <mergeCell ref="I41:I42"/>
    <mergeCell ref="J41:J42"/>
    <mergeCell ref="L41:L42"/>
    <mergeCell ref="U41:U42"/>
    <mergeCell ref="S41:S42"/>
    <mergeCell ref="R41:R42"/>
    <mergeCell ref="Q41:Q42"/>
    <mergeCell ref="Y41:Y42"/>
    <mergeCell ref="X41:X42"/>
    <mergeCell ref="K41:K42"/>
    <mergeCell ref="T41:T42"/>
    <mergeCell ref="P41:P42"/>
    <mergeCell ref="W41:W42"/>
    <mergeCell ref="V41:V42"/>
    <mergeCell ref="M41:M42"/>
    <mergeCell ref="O41:O42"/>
    <mergeCell ref="N41:N4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  <colBreaks count="1" manualBreakCount="1">
    <brk id="16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FF98F"/>
    <pageSetUpPr fitToPage="1"/>
  </sheetPr>
  <dimension ref="A1:Y48"/>
  <sheetViews>
    <sheetView zoomScale="95" zoomScaleNormal="95" zoomScalePageLayoutView="0" workbookViewId="0" topLeftCell="A1">
      <pane xSplit="3" ySplit="5" topLeftCell="J6" activePane="bottomRight" state="frozen"/>
      <selection pane="topLeft" activeCell="A11" sqref="A11:M11"/>
      <selection pane="topRight" activeCell="A11" sqref="A11:M11"/>
      <selection pane="bottomLeft" activeCell="A11" sqref="A11:M11"/>
      <selection pane="bottomRight" activeCell="AC17" sqref="AC17"/>
    </sheetView>
  </sheetViews>
  <sheetFormatPr defaultColWidth="11.421875" defaultRowHeight="12.75"/>
  <cols>
    <col min="3" max="3" width="5.140625" style="0" customWidth="1"/>
    <col min="4" max="9" width="11.421875" style="0" hidden="1" customWidth="1"/>
    <col min="11" max="11" width="12.7109375" style="0" hidden="1" customWidth="1"/>
    <col min="12" max="12" width="0" style="0" hidden="1" customWidth="1"/>
    <col min="13" max="13" width="0" style="97" hidden="1" customWidth="1"/>
    <col min="14" max="14" width="11.421875" style="0" hidden="1" customWidth="1"/>
    <col min="15" max="15" width="11.57421875" style="0" hidden="1" customWidth="1"/>
    <col min="16" max="17" width="0" style="0" hidden="1" customWidth="1"/>
    <col min="19" max="19" width="11.421875" style="267" customWidth="1"/>
    <col min="20" max="21" width="10.7109375" style="0" customWidth="1"/>
    <col min="22" max="22" width="10.00390625" style="332" customWidth="1"/>
    <col min="23" max="24" width="9.140625" style="240" customWidth="1"/>
  </cols>
  <sheetData>
    <row r="1" spans="1:22" ht="16.5" customHeight="1">
      <c r="A1" s="107" t="s">
        <v>88</v>
      </c>
      <c r="B1" s="108"/>
      <c r="C1" s="1"/>
      <c r="D1" s="1"/>
      <c r="E1" s="1"/>
      <c r="F1" s="1"/>
      <c r="G1" s="1"/>
      <c r="H1" s="1"/>
      <c r="I1" s="1"/>
      <c r="S1"/>
      <c r="V1"/>
    </row>
    <row r="2" spans="1:22" ht="16.5" customHeight="1">
      <c r="A2" s="372" t="s">
        <v>41</v>
      </c>
      <c r="B2" s="372"/>
      <c r="C2" s="372"/>
      <c r="D2" s="372"/>
      <c r="E2" s="372"/>
      <c r="F2" s="372"/>
      <c r="G2" s="372"/>
      <c r="H2" s="372"/>
      <c r="I2" s="372"/>
      <c r="M2" s="97" t="s">
        <v>39</v>
      </c>
      <c r="S2"/>
      <c r="V2"/>
    </row>
    <row r="3" spans="1:22" ht="16.5" customHeight="1">
      <c r="A3" s="1"/>
      <c r="B3" s="1"/>
      <c r="C3" s="1"/>
      <c r="D3" s="1"/>
      <c r="E3" s="1"/>
      <c r="F3" s="1"/>
      <c r="G3" s="1"/>
      <c r="H3" s="1"/>
      <c r="I3" s="1"/>
      <c r="P3" s="298"/>
      <c r="S3"/>
      <c r="V3"/>
    </row>
    <row r="4" spans="1:22" ht="16.5" customHeight="1">
      <c r="A4" s="1"/>
      <c r="B4" s="1"/>
      <c r="C4" s="1"/>
      <c r="D4" s="1"/>
      <c r="E4" s="1"/>
      <c r="F4" s="1"/>
      <c r="G4" s="1"/>
      <c r="H4" s="1"/>
      <c r="I4" s="1"/>
      <c r="S4"/>
      <c r="V4"/>
    </row>
    <row r="5" spans="1:25" s="24" customFormat="1" ht="19.5" customHeight="1">
      <c r="A5" s="143" t="s">
        <v>0</v>
      </c>
      <c r="B5" s="144"/>
      <c r="C5" s="145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46">
        <v>2002</v>
      </c>
      <c r="J5" s="147">
        <v>2003</v>
      </c>
      <c r="K5" s="148">
        <v>2004</v>
      </c>
      <c r="L5" s="112">
        <v>2005</v>
      </c>
      <c r="M5" s="149">
        <v>2006</v>
      </c>
      <c r="N5" s="163">
        <v>2007</v>
      </c>
      <c r="O5" s="112">
        <v>2008</v>
      </c>
      <c r="P5" s="112">
        <v>2009</v>
      </c>
      <c r="Q5" s="112">
        <v>2010</v>
      </c>
      <c r="R5" s="112">
        <v>2011</v>
      </c>
      <c r="S5" s="264">
        <v>2012</v>
      </c>
      <c r="T5" s="264">
        <v>2013</v>
      </c>
      <c r="U5" s="264">
        <v>2014</v>
      </c>
      <c r="V5" s="329">
        <v>2015</v>
      </c>
      <c r="W5" s="348">
        <v>2016</v>
      </c>
      <c r="X5" s="371">
        <v>2017</v>
      </c>
      <c r="Y5" s="348">
        <v>2018</v>
      </c>
    </row>
    <row r="6" spans="1:25" ht="19.5" customHeight="1">
      <c r="A6" s="7" t="s">
        <v>97</v>
      </c>
      <c r="B6" s="8"/>
      <c r="C6" s="9"/>
      <c r="D6" s="6">
        <v>12054</v>
      </c>
      <c r="E6" s="6">
        <v>11916</v>
      </c>
      <c r="F6" s="6">
        <v>9829</v>
      </c>
      <c r="G6" s="6">
        <v>8508</v>
      </c>
      <c r="H6" s="6">
        <v>8562</v>
      </c>
      <c r="I6" s="6">
        <v>10203.5</v>
      </c>
      <c r="J6" s="6">
        <v>8776.24</v>
      </c>
      <c r="K6" s="20">
        <v>8959</v>
      </c>
      <c r="L6" s="6">
        <v>11793</v>
      </c>
      <c r="M6" s="6">
        <f aca="true" t="shared" si="0" ref="M6:M11">L6*1.1</f>
        <v>12972.300000000001</v>
      </c>
      <c r="N6" s="172">
        <v>13138.22</v>
      </c>
      <c r="O6" s="6">
        <v>13017</v>
      </c>
      <c r="P6" s="6">
        <v>9284.4</v>
      </c>
      <c r="Q6" s="6">
        <v>5647</v>
      </c>
      <c r="R6" s="206">
        <v>7770</v>
      </c>
      <c r="S6" s="265">
        <v>9441</v>
      </c>
      <c r="T6" s="6">
        <v>9424</v>
      </c>
      <c r="U6" s="190">
        <v>8377</v>
      </c>
      <c r="V6" s="330">
        <v>8288</v>
      </c>
      <c r="W6" s="190">
        <v>8560</v>
      </c>
      <c r="X6" s="190">
        <v>10014</v>
      </c>
      <c r="Y6" s="365">
        <v>8197</v>
      </c>
    </row>
    <row r="7" spans="1:25" ht="19.5" customHeight="1">
      <c r="A7" s="7" t="s">
        <v>42</v>
      </c>
      <c r="B7" s="8"/>
      <c r="C7" s="9"/>
      <c r="D7" s="6">
        <v>889</v>
      </c>
      <c r="E7" s="6">
        <v>1074</v>
      </c>
      <c r="F7" s="6">
        <v>589</v>
      </c>
      <c r="G7" s="6">
        <v>688</v>
      </c>
      <c r="H7" s="6">
        <v>793</v>
      </c>
      <c r="I7" s="6">
        <v>1079.95</v>
      </c>
      <c r="J7" s="6">
        <v>792.2</v>
      </c>
      <c r="K7" s="6">
        <v>1268</v>
      </c>
      <c r="L7" s="6">
        <v>2387</v>
      </c>
      <c r="M7" s="6">
        <f t="shared" si="0"/>
        <v>2625.7000000000003</v>
      </c>
      <c r="N7" s="172">
        <v>1982.07</v>
      </c>
      <c r="O7" s="6">
        <v>1478</v>
      </c>
      <c r="P7" s="6">
        <v>1577.23</v>
      </c>
      <c r="Q7" s="6">
        <v>1051</v>
      </c>
      <c r="R7" s="206">
        <v>1085</v>
      </c>
      <c r="S7" s="265">
        <v>1734</v>
      </c>
      <c r="T7" s="6">
        <v>1254</v>
      </c>
      <c r="U7" s="190">
        <v>941</v>
      </c>
      <c r="V7" s="330">
        <v>1380</v>
      </c>
      <c r="W7" s="190">
        <v>1680</v>
      </c>
      <c r="X7" s="190">
        <v>1463</v>
      </c>
      <c r="Y7" s="365">
        <v>1284</v>
      </c>
    </row>
    <row r="8" spans="1:25" ht="19.5" customHeight="1">
      <c r="A8" s="7" t="s">
        <v>3</v>
      </c>
      <c r="B8" s="8"/>
      <c r="C8" s="9"/>
      <c r="D8" s="6">
        <v>252</v>
      </c>
      <c r="E8" s="6">
        <v>230</v>
      </c>
      <c r="F8" s="6">
        <v>384</v>
      </c>
      <c r="G8" s="6">
        <v>140</v>
      </c>
      <c r="H8" s="6">
        <v>167</v>
      </c>
      <c r="I8" s="6">
        <v>375.49</v>
      </c>
      <c r="J8" s="6">
        <v>332.9</v>
      </c>
      <c r="K8" s="6">
        <v>308</v>
      </c>
      <c r="L8" s="6">
        <v>177</v>
      </c>
      <c r="M8" s="6">
        <f t="shared" si="0"/>
        <v>194.70000000000002</v>
      </c>
      <c r="N8" s="172">
        <v>145.86</v>
      </c>
      <c r="O8" s="6">
        <v>571</v>
      </c>
      <c r="P8" s="6">
        <v>546.11</v>
      </c>
      <c r="Q8" s="6">
        <v>387</v>
      </c>
      <c r="R8" s="206">
        <v>359</v>
      </c>
      <c r="S8" s="265">
        <v>344</v>
      </c>
      <c r="T8" s="6">
        <v>419</v>
      </c>
      <c r="U8" s="190">
        <v>415</v>
      </c>
      <c r="V8" s="330">
        <v>526</v>
      </c>
      <c r="W8" s="190">
        <v>260</v>
      </c>
      <c r="X8" s="190">
        <v>177</v>
      </c>
      <c r="Y8" s="365">
        <v>193</v>
      </c>
    </row>
    <row r="9" spans="1:25" ht="19.5" customHeight="1">
      <c r="A9" s="7" t="s">
        <v>4</v>
      </c>
      <c r="B9" s="8"/>
      <c r="C9" s="9"/>
      <c r="D9" s="6">
        <v>566</v>
      </c>
      <c r="E9" s="6">
        <v>655</v>
      </c>
      <c r="F9" s="6">
        <v>701</v>
      </c>
      <c r="G9" s="6">
        <v>486</v>
      </c>
      <c r="H9" s="6">
        <v>371</v>
      </c>
      <c r="I9" s="6">
        <v>721.64</v>
      </c>
      <c r="J9" s="6">
        <v>921.66</v>
      </c>
      <c r="K9" s="6">
        <v>1057</v>
      </c>
      <c r="L9" s="6">
        <v>869</v>
      </c>
      <c r="M9" s="6">
        <f t="shared" si="0"/>
        <v>955.9000000000001</v>
      </c>
      <c r="N9" s="172">
        <v>1172</v>
      </c>
      <c r="O9" s="6">
        <v>1215</v>
      </c>
      <c r="P9" s="6">
        <v>1059.4</v>
      </c>
      <c r="Q9" s="6">
        <v>1718</v>
      </c>
      <c r="R9" s="206">
        <v>1737</v>
      </c>
      <c r="S9" s="265">
        <v>2572</v>
      </c>
      <c r="T9" s="6">
        <v>2291</v>
      </c>
      <c r="U9" s="190">
        <v>2482</v>
      </c>
      <c r="V9" s="330">
        <v>2401</v>
      </c>
      <c r="W9" s="190">
        <v>1970</v>
      </c>
      <c r="X9" s="190">
        <v>1692</v>
      </c>
      <c r="Y9" s="365">
        <v>1741</v>
      </c>
    </row>
    <row r="10" spans="1:25" ht="19.5" customHeight="1">
      <c r="A10" s="7" t="s">
        <v>61</v>
      </c>
      <c r="B10" s="8"/>
      <c r="C10" s="9"/>
      <c r="D10" s="6">
        <v>133990</v>
      </c>
      <c r="E10" s="6">
        <v>136244</v>
      </c>
      <c r="F10" s="6">
        <v>131467</v>
      </c>
      <c r="G10" s="6">
        <v>138790</v>
      </c>
      <c r="H10" s="6">
        <v>139387</v>
      </c>
      <c r="I10" s="6">
        <v>157600.62</v>
      </c>
      <c r="J10" s="6">
        <v>165164.96</v>
      </c>
      <c r="K10" s="6">
        <v>171487</v>
      </c>
      <c r="L10" s="6">
        <v>91822</v>
      </c>
      <c r="M10" s="6">
        <f t="shared" si="0"/>
        <v>101004.20000000001</v>
      </c>
      <c r="N10" s="172">
        <v>95884.4</v>
      </c>
      <c r="O10" s="6">
        <v>124448</v>
      </c>
      <c r="P10" s="6">
        <v>91811.66</v>
      </c>
      <c r="Q10" s="6">
        <v>82323</v>
      </c>
      <c r="R10" s="206">
        <v>49599</v>
      </c>
      <c r="S10" s="265">
        <v>73672</v>
      </c>
      <c r="T10" s="6">
        <v>72958</v>
      </c>
      <c r="U10" s="190">
        <v>67907</v>
      </c>
      <c r="V10" s="330">
        <v>70948</v>
      </c>
      <c r="W10" s="190">
        <v>83785</v>
      </c>
      <c r="X10" s="190">
        <v>64105</v>
      </c>
      <c r="Y10" s="365">
        <v>58955</v>
      </c>
    </row>
    <row r="11" spans="1:25" ht="19.5" customHeight="1">
      <c r="A11" s="7" t="s">
        <v>63</v>
      </c>
      <c r="B11" s="8"/>
      <c r="C11" s="9"/>
      <c r="D11" s="6">
        <v>28647</v>
      </c>
      <c r="E11" s="6">
        <v>28685</v>
      </c>
      <c r="F11" s="6">
        <v>25420</v>
      </c>
      <c r="G11" s="6">
        <v>23808</v>
      </c>
      <c r="H11" s="6">
        <v>24426</v>
      </c>
      <c r="I11" s="6">
        <v>26730.77</v>
      </c>
      <c r="J11" s="6">
        <v>24457.33</v>
      </c>
      <c r="K11" s="6">
        <v>22459</v>
      </c>
      <c r="L11" s="6">
        <v>24271</v>
      </c>
      <c r="M11" s="6">
        <f t="shared" si="0"/>
        <v>26698.100000000002</v>
      </c>
      <c r="N11" s="172">
        <v>24376.8</v>
      </c>
      <c r="O11" s="6">
        <v>30504</v>
      </c>
      <c r="P11" s="6">
        <v>27691.87</v>
      </c>
      <c r="Q11" s="6">
        <v>21981</v>
      </c>
      <c r="R11" s="206">
        <v>20888</v>
      </c>
      <c r="S11" s="265">
        <v>25707</v>
      </c>
      <c r="T11" s="6">
        <v>27859</v>
      </c>
      <c r="U11" s="190">
        <v>27407</v>
      </c>
      <c r="V11" s="330">
        <v>24290</v>
      </c>
      <c r="W11" s="190">
        <v>23374</v>
      </c>
      <c r="X11" s="190">
        <v>20942</v>
      </c>
      <c r="Y11" s="365">
        <v>21868</v>
      </c>
    </row>
    <row r="12" spans="1:25" ht="19.5" customHeight="1">
      <c r="A12" s="7" t="s">
        <v>6</v>
      </c>
      <c r="B12" s="8"/>
      <c r="C12" s="9"/>
      <c r="D12" s="6" t="s">
        <v>64</v>
      </c>
      <c r="E12" s="6" t="s">
        <v>64</v>
      </c>
      <c r="F12" s="6"/>
      <c r="G12" s="6"/>
      <c r="H12" s="6"/>
      <c r="I12" s="6"/>
      <c r="J12" s="6"/>
      <c r="K12" s="6">
        <v>0</v>
      </c>
      <c r="L12" s="6"/>
      <c r="M12" s="6"/>
      <c r="N12" s="172"/>
      <c r="O12" s="6">
        <v>0</v>
      </c>
      <c r="P12" s="6"/>
      <c r="Q12" s="6">
        <v>0</v>
      </c>
      <c r="R12" s="206">
        <v>0</v>
      </c>
      <c r="S12" s="265">
        <v>0</v>
      </c>
      <c r="T12" s="6">
        <v>0</v>
      </c>
      <c r="U12" s="190"/>
      <c r="V12" s="330">
        <v>0</v>
      </c>
      <c r="W12" s="190">
        <v>0</v>
      </c>
      <c r="X12" s="190">
        <v>0</v>
      </c>
      <c r="Y12" s="365">
        <v>0</v>
      </c>
    </row>
    <row r="13" spans="1:25" ht="19.5" customHeight="1">
      <c r="A13" s="7" t="s">
        <v>7</v>
      </c>
      <c r="B13" s="8"/>
      <c r="C13" s="9"/>
      <c r="D13" s="6">
        <v>3282</v>
      </c>
      <c r="E13" s="6">
        <v>3498</v>
      </c>
      <c r="F13" s="6">
        <v>2868</v>
      </c>
      <c r="G13" s="6">
        <v>3642</v>
      </c>
      <c r="H13" s="6">
        <v>4206</v>
      </c>
      <c r="I13" s="6">
        <v>4808.34</v>
      </c>
      <c r="J13" s="6">
        <v>5208</v>
      </c>
      <c r="K13" s="6">
        <v>4935</v>
      </c>
      <c r="L13" s="6">
        <v>5462</v>
      </c>
      <c r="M13" s="6">
        <f>L13*1.1</f>
        <v>6008.200000000001</v>
      </c>
      <c r="N13" s="172">
        <v>3328.85</v>
      </c>
      <c r="O13" s="6">
        <v>4840</v>
      </c>
      <c r="P13" s="6">
        <v>6296</v>
      </c>
      <c r="Q13" s="6">
        <v>5647</v>
      </c>
      <c r="R13" s="206">
        <v>6107</v>
      </c>
      <c r="S13" s="265">
        <v>8261</v>
      </c>
      <c r="T13" s="6">
        <v>8311</v>
      </c>
      <c r="U13" s="190">
        <v>7554</v>
      </c>
      <c r="V13" s="330">
        <v>5702</v>
      </c>
      <c r="W13" s="190">
        <v>5400</v>
      </c>
      <c r="X13" s="190">
        <v>5381</v>
      </c>
      <c r="Y13" s="365"/>
    </row>
    <row r="14" spans="1:25" ht="19.5" customHeight="1">
      <c r="A14" s="7" t="s">
        <v>8</v>
      </c>
      <c r="B14" s="8"/>
      <c r="C14" s="9"/>
      <c r="D14" s="6">
        <v>12670</v>
      </c>
      <c r="E14" s="6">
        <v>13175</v>
      </c>
      <c r="F14" s="6">
        <v>13166</v>
      </c>
      <c r="G14" s="6">
        <v>12759</v>
      </c>
      <c r="H14" s="6">
        <v>12834</v>
      </c>
      <c r="I14" s="6">
        <v>12319.29</v>
      </c>
      <c r="J14" s="6">
        <v>12407</v>
      </c>
      <c r="K14" s="6">
        <v>12261</v>
      </c>
      <c r="L14" s="6">
        <v>11517</v>
      </c>
      <c r="M14" s="6">
        <f>L14*1.1</f>
        <v>12668.7</v>
      </c>
      <c r="N14" s="172">
        <v>12560.79</v>
      </c>
      <c r="O14" s="6">
        <v>11350</v>
      </c>
      <c r="P14" s="6">
        <v>13098.52</v>
      </c>
      <c r="Q14" s="6">
        <v>14192</v>
      </c>
      <c r="R14" s="207">
        <v>14729</v>
      </c>
      <c r="S14" s="265">
        <v>13172</v>
      </c>
      <c r="T14" s="6">
        <v>10289</v>
      </c>
      <c r="U14" s="190">
        <v>10219</v>
      </c>
      <c r="V14" s="330">
        <v>11174</v>
      </c>
      <c r="W14" s="190">
        <v>11770</v>
      </c>
      <c r="X14" s="190">
        <v>11515</v>
      </c>
      <c r="Y14" s="365"/>
    </row>
    <row r="15" spans="1:25" s="21" customFormat="1" ht="19.5" customHeight="1">
      <c r="A15" s="150" t="s">
        <v>9</v>
      </c>
      <c r="B15" s="151"/>
      <c r="C15" s="152"/>
      <c r="D15" s="125">
        <v>180296</v>
      </c>
      <c r="E15" s="125">
        <v>183561</v>
      </c>
      <c r="F15" s="125">
        <v>184424</v>
      </c>
      <c r="G15" s="125">
        <v>188821</v>
      </c>
      <c r="H15" s="125">
        <v>190745</v>
      </c>
      <c r="I15" s="125">
        <f aca="true" t="shared" si="1" ref="I15:R15">SUM(I6:I14)</f>
        <v>213839.59999999998</v>
      </c>
      <c r="J15" s="125">
        <f t="shared" si="1"/>
        <v>218060.28999999998</v>
      </c>
      <c r="K15" s="125">
        <f t="shared" si="1"/>
        <v>222734</v>
      </c>
      <c r="L15" s="125">
        <f t="shared" si="1"/>
        <v>148298</v>
      </c>
      <c r="M15" s="125">
        <f t="shared" si="1"/>
        <v>163127.80000000005</v>
      </c>
      <c r="N15" s="125">
        <f t="shared" si="1"/>
        <v>152588.99</v>
      </c>
      <c r="O15" s="125">
        <f t="shared" si="1"/>
        <v>187423</v>
      </c>
      <c r="P15" s="125">
        <f t="shared" si="1"/>
        <v>151365.19</v>
      </c>
      <c r="Q15" s="125">
        <f t="shared" si="1"/>
        <v>132946</v>
      </c>
      <c r="R15" s="125">
        <f t="shared" si="1"/>
        <v>102274</v>
      </c>
      <c r="S15" s="266">
        <f aca="true" t="shared" si="2" ref="S15:Y15">SUM(S6:S14)</f>
        <v>134903</v>
      </c>
      <c r="T15" s="266">
        <f t="shared" si="2"/>
        <v>132805</v>
      </c>
      <c r="U15" s="312">
        <f t="shared" si="2"/>
        <v>125302</v>
      </c>
      <c r="V15" s="331">
        <f t="shared" si="2"/>
        <v>124709</v>
      </c>
      <c r="W15" s="312">
        <f t="shared" si="2"/>
        <v>136799</v>
      </c>
      <c r="X15" s="368">
        <f t="shared" si="2"/>
        <v>115289</v>
      </c>
      <c r="Y15" s="312">
        <f t="shared" si="2"/>
        <v>92238</v>
      </c>
    </row>
    <row r="16" spans="1:25" s="16" customFormat="1" ht="19.5" customHeight="1">
      <c r="A16" s="17" t="s">
        <v>10</v>
      </c>
      <c r="B16" s="18"/>
      <c r="C16" s="19"/>
      <c r="D16" s="20">
        <v>115</v>
      </c>
      <c r="E16" s="20">
        <v>112</v>
      </c>
      <c r="F16" s="20">
        <v>93</v>
      </c>
      <c r="G16" s="20">
        <v>22</v>
      </c>
      <c r="H16" s="20">
        <v>8</v>
      </c>
      <c r="I16" s="20">
        <v>34</v>
      </c>
      <c r="J16" s="20">
        <v>28.97</v>
      </c>
      <c r="K16" s="20">
        <v>27</v>
      </c>
      <c r="L16" s="20">
        <v>49</v>
      </c>
      <c r="M16" s="20">
        <f>L16*1.1</f>
        <v>53.900000000000006</v>
      </c>
      <c r="N16" s="173">
        <v>37.05</v>
      </c>
      <c r="O16" s="20">
        <v>20</v>
      </c>
      <c r="P16" s="20">
        <v>1.01</v>
      </c>
      <c r="Q16" s="20">
        <v>0</v>
      </c>
      <c r="R16" s="208">
        <v>10</v>
      </c>
      <c r="S16" s="265">
        <v>0</v>
      </c>
      <c r="T16" s="265">
        <v>0</v>
      </c>
      <c r="U16" s="190"/>
      <c r="V16" s="330">
        <v>0</v>
      </c>
      <c r="W16" s="190">
        <v>0</v>
      </c>
      <c r="X16" s="190">
        <v>0</v>
      </c>
      <c r="Y16" s="366"/>
    </row>
    <row r="17" spans="1:25" ht="19.5" customHeight="1">
      <c r="A17" s="7" t="s">
        <v>11</v>
      </c>
      <c r="B17" s="8"/>
      <c r="C17" s="9"/>
      <c r="D17" s="6"/>
      <c r="E17" s="6" t="s">
        <v>64</v>
      </c>
      <c r="F17" s="6"/>
      <c r="G17" s="6"/>
      <c r="H17" s="6"/>
      <c r="I17" s="92">
        <v>0</v>
      </c>
      <c r="J17" s="6"/>
      <c r="K17" s="20">
        <v>0</v>
      </c>
      <c r="L17" s="6"/>
      <c r="M17" s="6">
        <v>16</v>
      </c>
      <c r="N17" s="172"/>
      <c r="O17" s="6">
        <v>0</v>
      </c>
      <c r="P17" s="6">
        <v>0.01</v>
      </c>
      <c r="Q17" s="6">
        <v>0</v>
      </c>
      <c r="R17" s="206">
        <v>19</v>
      </c>
      <c r="S17" s="265">
        <v>12</v>
      </c>
      <c r="T17" s="6">
        <v>2</v>
      </c>
      <c r="U17" s="190"/>
      <c r="V17" s="330">
        <v>0</v>
      </c>
      <c r="W17" s="190">
        <v>0</v>
      </c>
      <c r="X17" s="190">
        <v>0</v>
      </c>
      <c r="Y17" s="366"/>
    </row>
    <row r="18" spans="1:25" ht="19.5" customHeight="1">
      <c r="A18" s="38" t="s">
        <v>197</v>
      </c>
      <c r="B18" s="8"/>
      <c r="C18" s="9"/>
      <c r="D18" s="6"/>
      <c r="E18" s="6"/>
      <c r="F18" s="6"/>
      <c r="G18" s="6"/>
      <c r="H18" s="6">
        <v>2</v>
      </c>
      <c r="I18" s="6">
        <v>2</v>
      </c>
      <c r="J18" s="6">
        <v>2</v>
      </c>
      <c r="K18" s="6">
        <v>2</v>
      </c>
      <c r="L18" s="6"/>
      <c r="M18" s="6"/>
      <c r="N18" s="172"/>
      <c r="O18" s="6">
        <v>0</v>
      </c>
      <c r="P18" s="6"/>
      <c r="Q18" s="6">
        <v>0</v>
      </c>
      <c r="R18" s="206">
        <v>0</v>
      </c>
      <c r="S18" s="265">
        <v>0</v>
      </c>
      <c r="T18" s="6">
        <v>0</v>
      </c>
      <c r="U18" s="190"/>
      <c r="V18" s="330">
        <v>0</v>
      </c>
      <c r="W18" s="190">
        <v>0</v>
      </c>
      <c r="X18" s="190">
        <v>0</v>
      </c>
      <c r="Y18" s="366"/>
    </row>
    <row r="19" spans="1:25" ht="19.5" customHeight="1">
      <c r="A19" s="7" t="s">
        <v>13</v>
      </c>
      <c r="B19" s="8"/>
      <c r="C19" s="9"/>
      <c r="D19" s="6"/>
      <c r="E19" s="6"/>
      <c r="F19" s="6"/>
      <c r="G19" s="6">
        <v>1</v>
      </c>
      <c r="H19" s="6">
        <v>1</v>
      </c>
      <c r="I19" s="65">
        <v>5</v>
      </c>
      <c r="J19" s="6">
        <v>4.5</v>
      </c>
      <c r="K19" s="6">
        <v>5</v>
      </c>
      <c r="L19" s="6">
        <v>1</v>
      </c>
      <c r="M19" s="6">
        <f>L19*1.1</f>
        <v>1.1</v>
      </c>
      <c r="N19" s="172">
        <v>1</v>
      </c>
      <c r="O19" s="6">
        <v>0</v>
      </c>
      <c r="P19" s="6"/>
      <c r="Q19" s="6">
        <v>0</v>
      </c>
      <c r="R19" s="206">
        <v>0</v>
      </c>
      <c r="S19" s="265">
        <v>0</v>
      </c>
      <c r="T19" s="6">
        <v>0</v>
      </c>
      <c r="U19" s="190"/>
      <c r="V19" s="330">
        <v>0</v>
      </c>
      <c r="W19" s="190">
        <v>0</v>
      </c>
      <c r="X19" s="190">
        <v>0</v>
      </c>
      <c r="Y19" s="366"/>
    </row>
    <row r="20" spans="1:25" ht="19.5" customHeight="1">
      <c r="A20" s="193" t="s">
        <v>199</v>
      </c>
      <c r="B20" s="8"/>
      <c r="C20" s="9"/>
      <c r="D20" s="6">
        <v>77</v>
      </c>
      <c r="E20" s="6">
        <v>47</v>
      </c>
      <c r="F20" s="6">
        <v>102</v>
      </c>
      <c r="G20" s="6">
        <v>105</v>
      </c>
      <c r="H20" s="6">
        <v>124</v>
      </c>
      <c r="I20" s="6">
        <v>127</v>
      </c>
      <c r="J20" s="6">
        <v>52.21</v>
      </c>
      <c r="K20" s="6">
        <v>66</v>
      </c>
      <c r="L20" s="6">
        <v>102</v>
      </c>
      <c r="M20" s="6">
        <f>L20*1.1</f>
        <v>112.2</v>
      </c>
      <c r="N20" s="172">
        <v>37.05</v>
      </c>
      <c r="O20" s="6">
        <v>38</v>
      </c>
      <c r="P20" s="6">
        <v>4.01</v>
      </c>
      <c r="Q20" s="6">
        <v>9</v>
      </c>
      <c r="R20" s="238">
        <v>6</v>
      </c>
      <c r="S20" s="265">
        <v>6</v>
      </c>
      <c r="T20" s="265">
        <v>1</v>
      </c>
      <c r="U20" s="190">
        <v>1</v>
      </c>
      <c r="V20" s="330">
        <v>8</v>
      </c>
      <c r="W20" s="190">
        <v>4</v>
      </c>
      <c r="X20" s="190">
        <v>4.3</v>
      </c>
      <c r="Y20" s="366"/>
    </row>
    <row r="21" spans="1:25" ht="19.5" customHeight="1">
      <c r="A21" s="7" t="s">
        <v>67</v>
      </c>
      <c r="B21" s="8"/>
      <c r="C21" s="9"/>
      <c r="D21" s="6">
        <v>487</v>
      </c>
      <c r="E21" s="6">
        <v>286</v>
      </c>
      <c r="F21" s="6">
        <v>161</v>
      </c>
      <c r="G21" s="6">
        <v>21</v>
      </c>
      <c r="H21" s="6">
        <v>6</v>
      </c>
      <c r="I21" s="6">
        <v>22</v>
      </c>
      <c r="J21" s="6">
        <v>41.7</v>
      </c>
      <c r="K21" s="6">
        <v>52</v>
      </c>
      <c r="L21" s="6">
        <v>3</v>
      </c>
      <c r="M21" s="6">
        <f>L21*1.1</f>
        <v>3.3000000000000003</v>
      </c>
      <c r="N21" s="172">
        <v>4</v>
      </c>
      <c r="O21" s="6">
        <v>3</v>
      </c>
      <c r="P21" s="6">
        <v>1</v>
      </c>
      <c r="Q21" s="6">
        <v>16</v>
      </c>
      <c r="R21" s="238">
        <v>24</v>
      </c>
      <c r="S21" s="265">
        <v>53</v>
      </c>
      <c r="T21" s="265">
        <v>42</v>
      </c>
      <c r="U21" s="190">
        <v>42</v>
      </c>
      <c r="V21" s="330">
        <v>0</v>
      </c>
      <c r="W21" s="190">
        <v>10</v>
      </c>
      <c r="X21" s="190">
        <v>0</v>
      </c>
      <c r="Y21" s="366"/>
    </row>
    <row r="22" spans="1:25" ht="19.5" customHeight="1">
      <c r="A22" s="7" t="s">
        <v>68</v>
      </c>
      <c r="B22" s="8"/>
      <c r="C22" s="9"/>
      <c r="D22" s="6"/>
      <c r="E22" s="6">
        <v>53</v>
      </c>
      <c r="F22" s="6">
        <v>54</v>
      </c>
      <c r="G22" s="6"/>
      <c r="H22" s="6"/>
      <c r="I22" s="93">
        <v>0</v>
      </c>
      <c r="J22" s="6"/>
      <c r="K22" s="6">
        <v>0</v>
      </c>
      <c r="L22" s="6"/>
      <c r="M22" s="6"/>
      <c r="N22" s="172"/>
      <c r="O22" s="6">
        <v>0</v>
      </c>
      <c r="P22" s="6"/>
      <c r="Q22" s="6">
        <v>0</v>
      </c>
      <c r="R22" s="238">
        <v>45</v>
      </c>
      <c r="S22" s="265">
        <v>69</v>
      </c>
      <c r="T22" s="265">
        <v>13</v>
      </c>
      <c r="U22" s="190">
        <v>13</v>
      </c>
      <c r="V22" s="330">
        <v>5</v>
      </c>
      <c r="W22" s="190">
        <v>0</v>
      </c>
      <c r="X22" s="190">
        <v>0</v>
      </c>
      <c r="Y22" s="366"/>
    </row>
    <row r="23" spans="1:25" ht="19.5" customHeight="1">
      <c r="A23" s="7" t="s">
        <v>69</v>
      </c>
      <c r="B23" s="8"/>
      <c r="C23" s="9"/>
      <c r="D23" s="6">
        <v>3526</v>
      </c>
      <c r="E23" s="6">
        <v>4177</v>
      </c>
      <c r="F23" s="6">
        <v>4835</v>
      </c>
      <c r="G23" s="6">
        <v>2063</v>
      </c>
      <c r="H23" s="6">
        <v>2955</v>
      </c>
      <c r="I23" s="6">
        <v>2688</v>
      </c>
      <c r="J23" s="6">
        <v>2374.65</v>
      </c>
      <c r="K23" s="6">
        <v>4286</v>
      </c>
      <c r="L23" s="6">
        <v>4726</v>
      </c>
      <c r="M23" s="6">
        <f>L23*1.1</f>
        <v>5198.6</v>
      </c>
      <c r="N23" s="172">
        <v>3255.89</v>
      </c>
      <c r="O23" s="6">
        <v>3380</v>
      </c>
      <c r="P23" s="6">
        <v>4273.64</v>
      </c>
      <c r="Q23" s="6">
        <v>4258</v>
      </c>
      <c r="R23" s="238">
        <v>4730</v>
      </c>
      <c r="S23" s="265">
        <v>4256</v>
      </c>
      <c r="T23" s="265">
        <v>4571</v>
      </c>
      <c r="U23" s="190">
        <v>4571</v>
      </c>
      <c r="V23" s="330">
        <v>3038</v>
      </c>
      <c r="W23" s="190">
        <v>3648</v>
      </c>
      <c r="X23" s="190">
        <v>3193</v>
      </c>
      <c r="Y23" s="366"/>
    </row>
    <row r="24" spans="1:25" ht="19.5" customHeight="1">
      <c r="A24" s="7" t="s">
        <v>19</v>
      </c>
      <c r="B24" s="8"/>
      <c r="C24" s="9"/>
      <c r="D24" s="6"/>
      <c r="E24" s="6"/>
      <c r="F24" s="6"/>
      <c r="G24" s="6"/>
      <c r="H24" s="6"/>
      <c r="I24" s="6"/>
      <c r="J24" s="6"/>
      <c r="K24" s="6">
        <v>0</v>
      </c>
      <c r="L24" s="6"/>
      <c r="M24" s="6"/>
      <c r="N24" s="172"/>
      <c r="O24" s="6">
        <v>0</v>
      </c>
      <c r="P24" s="6"/>
      <c r="Q24" s="6">
        <v>9</v>
      </c>
      <c r="R24" s="206">
        <v>12</v>
      </c>
      <c r="S24" s="265">
        <v>375</v>
      </c>
      <c r="T24" s="6">
        <v>471</v>
      </c>
      <c r="U24" s="190"/>
      <c r="V24" s="330">
        <v>250</v>
      </c>
      <c r="W24" s="190">
        <v>220</v>
      </c>
      <c r="X24" s="190">
        <v>235</v>
      </c>
      <c r="Y24" s="366"/>
    </row>
    <row r="25" spans="1:25" s="21" customFormat="1" ht="19.5" customHeight="1">
      <c r="A25" s="150" t="s">
        <v>20</v>
      </c>
      <c r="B25" s="151"/>
      <c r="C25" s="152"/>
      <c r="D25" s="125">
        <v>6567</v>
      </c>
      <c r="E25" s="125">
        <v>7587</v>
      </c>
      <c r="F25" s="125">
        <v>9345</v>
      </c>
      <c r="G25" s="125">
        <v>6610</v>
      </c>
      <c r="H25" s="125">
        <v>6712</v>
      </c>
      <c r="I25" s="125">
        <f>SUM(I16:I23)</f>
        <v>2878</v>
      </c>
      <c r="J25" s="125">
        <f aca="true" t="shared" si="3" ref="J25:R25">SUM(J16:J24)</f>
        <v>2504.03</v>
      </c>
      <c r="K25" s="125">
        <f t="shared" si="3"/>
        <v>4438</v>
      </c>
      <c r="L25" s="125">
        <f t="shared" si="3"/>
        <v>4881</v>
      </c>
      <c r="M25" s="125">
        <f t="shared" si="3"/>
        <v>5385.1</v>
      </c>
      <c r="N25" s="125">
        <f t="shared" si="3"/>
        <v>3334.99</v>
      </c>
      <c r="O25" s="125">
        <f t="shared" si="3"/>
        <v>3441</v>
      </c>
      <c r="P25" s="125">
        <f t="shared" si="3"/>
        <v>4279.67</v>
      </c>
      <c r="Q25" s="125">
        <f t="shared" si="3"/>
        <v>4292</v>
      </c>
      <c r="R25" s="125">
        <f t="shared" si="3"/>
        <v>4846</v>
      </c>
      <c r="S25" s="266">
        <f aca="true" t="shared" si="4" ref="S25:Y25">SUM(S16:S24)</f>
        <v>4771</v>
      </c>
      <c r="T25" s="266">
        <f t="shared" si="4"/>
        <v>5100</v>
      </c>
      <c r="U25" s="312">
        <f t="shared" si="4"/>
        <v>4627</v>
      </c>
      <c r="V25" s="331">
        <f t="shared" si="4"/>
        <v>3301</v>
      </c>
      <c r="W25" s="312">
        <f t="shared" si="4"/>
        <v>3882</v>
      </c>
      <c r="X25" s="368">
        <f t="shared" si="4"/>
        <v>3432.3</v>
      </c>
      <c r="Y25" s="312">
        <f t="shared" si="4"/>
        <v>0</v>
      </c>
    </row>
    <row r="26" spans="1:25" s="16" customFormat="1" ht="19.5" customHeight="1">
      <c r="A26" s="17" t="s">
        <v>70</v>
      </c>
      <c r="B26" s="18"/>
      <c r="C26" s="19"/>
      <c r="D26" s="20">
        <v>3684</v>
      </c>
      <c r="E26" s="20">
        <v>3816</v>
      </c>
      <c r="F26" s="20">
        <v>6271</v>
      </c>
      <c r="G26" s="20">
        <v>6250</v>
      </c>
      <c r="H26" s="20">
        <v>4299</v>
      </c>
      <c r="I26" s="20">
        <v>4841</v>
      </c>
      <c r="J26" s="20">
        <v>5165.03</v>
      </c>
      <c r="K26" s="20">
        <v>6572</v>
      </c>
      <c r="L26" s="6">
        <v>7035</v>
      </c>
      <c r="M26" s="20">
        <f aca="true" t="shared" si="5" ref="M26:M32">L26*1.1</f>
        <v>7738.500000000001</v>
      </c>
      <c r="N26" s="173">
        <v>3616.83</v>
      </c>
      <c r="O26" s="20">
        <v>3841</v>
      </c>
      <c r="P26" s="20">
        <v>5096.57</v>
      </c>
      <c r="Q26" s="20">
        <v>5531</v>
      </c>
      <c r="R26" s="239">
        <v>6333</v>
      </c>
      <c r="S26" s="265">
        <v>6951</v>
      </c>
      <c r="T26" s="265">
        <v>10462</v>
      </c>
      <c r="U26" s="190">
        <v>13087</v>
      </c>
      <c r="V26" s="330">
        <v>13420</v>
      </c>
      <c r="W26" s="190">
        <v>13480</v>
      </c>
      <c r="X26" s="190">
        <v>18711</v>
      </c>
      <c r="Y26" s="367"/>
    </row>
    <row r="27" spans="1:25" ht="19.5" customHeight="1">
      <c r="A27" s="7" t="s">
        <v>71</v>
      </c>
      <c r="B27" s="8"/>
      <c r="C27" s="9"/>
      <c r="D27" s="6">
        <v>31</v>
      </c>
      <c r="E27" s="6">
        <v>23</v>
      </c>
      <c r="F27" s="6">
        <v>10</v>
      </c>
      <c r="G27" s="6">
        <v>5</v>
      </c>
      <c r="H27" s="6">
        <v>12</v>
      </c>
      <c r="I27" s="6">
        <v>15.6</v>
      </c>
      <c r="J27" s="6">
        <v>0</v>
      </c>
      <c r="K27" s="20">
        <v>1</v>
      </c>
      <c r="L27" s="6">
        <v>1</v>
      </c>
      <c r="M27" s="6">
        <f t="shared" si="5"/>
        <v>1.1</v>
      </c>
      <c r="N27" s="172">
        <v>1.67</v>
      </c>
      <c r="O27" s="6">
        <v>0</v>
      </c>
      <c r="P27" s="6">
        <v>1.67</v>
      </c>
      <c r="Q27" s="6">
        <v>0</v>
      </c>
      <c r="R27" s="239">
        <v>3</v>
      </c>
      <c r="S27" s="265"/>
      <c r="T27" s="265">
        <v>2</v>
      </c>
      <c r="U27" s="190">
        <v>0</v>
      </c>
      <c r="V27" s="330">
        <v>0</v>
      </c>
      <c r="W27" s="190">
        <v>0</v>
      </c>
      <c r="X27" s="190">
        <v>1</v>
      </c>
      <c r="Y27" s="367"/>
    </row>
    <row r="28" spans="1:25" ht="19.5" customHeight="1">
      <c r="A28" s="10" t="s">
        <v>72</v>
      </c>
      <c r="B28" s="11"/>
      <c r="C28" s="12"/>
      <c r="D28" s="6">
        <v>1526</v>
      </c>
      <c r="E28" s="6">
        <v>2114</v>
      </c>
      <c r="F28" s="6">
        <v>2690</v>
      </c>
      <c r="G28" s="6">
        <v>2164</v>
      </c>
      <c r="H28" s="6">
        <v>1641</v>
      </c>
      <c r="I28" s="6">
        <v>1752</v>
      </c>
      <c r="J28" s="6">
        <v>1633.4</v>
      </c>
      <c r="K28" s="6">
        <v>1404</v>
      </c>
      <c r="L28" s="6">
        <v>1753</v>
      </c>
      <c r="M28" s="6">
        <f t="shared" si="5"/>
        <v>1928.3000000000002</v>
      </c>
      <c r="N28" s="172">
        <v>2367.36</v>
      </c>
      <c r="O28" s="6">
        <v>1700</v>
      </c>
      <c r="P28" s="6">
        <v>1773.94</v>
      </c>
      <c r="Q28" s="6">
        <v>1635</v>
      </c>
      <c r="R28" s="239">
        <v>1277</v>
      </c>
      <c r="S28" s="265">
        <v>1210</v>
      </c>
      <c r="T28" s="265">
        <v>1607</v>
      </c>
      <c r="U28" s="190">
        <v>1299</v>
      </c>
      <c r="V28" s="330">
        <v>1500</v>
      </c>
      <c r="W28" s="190">
        <v>1035</v>
      </c>
      <c r="X28" s="190">
        <v>674</v>
      </c>
      <c r="Y28" s="367"/>
    </row>
    <row r="29" spans="1:25" ht="19.5" customHeight="1">
      <c r="A29" s="7" t="s">
        <v>73</v>
      </c>
      <c r="B29" s="8"/>
      <c r="C29" s="9"/>
      <c r="D29" s="6">
        <v>913</v>
      </c>
      <c r="E29" s="6">
        <v>608</v>
      </c>
      <c r="F29" s="6">
        <v>606</v>
      </c>
      <c r="G29" s="6">
        <v>466</v>
      </c>
      <c r="H29" s="6">
        <v>287</v>
      </c>
      <c r="I29" s="6">
        <v>141</v>
      </c>
      <c r="J29" s="6">
        <v>388.63</v>
      </c>
      <c r="K29" s="6">
        <v>449</v>
      </c>
      <c r="L29" s="6">
        <v>539</v>
      </c>
      <c r="M29" s="6">
        <f t="shared" si="5"/>
        <v>592.9000000000001</v>
      </c>
      <c r="N29" s="172">
        <v>172.65</v>
      </c>
      <c r="O29" s="6">
        <v>77</v>
      </c>
      <c r="P29" s="6">
        <v>126.74</v>
      </c>
      <c r="Q29" s="6">
        <v>703</v>
      </c>
      <c r="R29" s="239">
        <v>744</v>
      </c>
      <c r="S29" s="265">
        <v>439</v>
      </c>
      <c r="T29" s="265">
        <v>345</v>
      </c>
      <c r="U29" s="190">
        <v>538</v>
      </c>
      <c r="V29" s="330">
        <v>429</v>
      </c>
      <c r="W29" s="190">
        <v>480</v>
      </c>
      <c r="X29" s="190">
        <v>1371</v>
      </c>
      <c r="Y29" s="367"/>
    </row>
    <row r="30" spans="1:25" ht="19.5" customHeight="1">
      <c r="A30" s="10" t="s">
        <v>74</v>
      </c>
      <c r="B30" s="8"/>
      <c r="C30" s="9"/>
      <c r="D30" s="6">
        <v>469</v>
      </c>
      <c r="E30" s="6">
        <v>278</v>
      </c>
      <c r="F30" s="6">
        <v>389</v>
      </c>
      <c r="G30" s="6">
        <v>312</v>
      </c>
      <c r="H30" s="6">
        <v>223</v>
      </c>
      <c r="I30" s="6">
        <v>13</v>
      </c>
      <c r="J30" s="6">
        <v>13</v>
      </c>
      <c r="K30" s="6">
        <v>24</v>
      </c>
      <c r="L30" s="6">
        <v>90</v>
      </c>
      <c r="M30" s="6">
        <f t="shared" si="5"/>
        <v>99.00000000000001</v>
      </c>
      <c r="N30" s="172">
        <v>15.59</v>
      </c>
      <c r="O30" s="6">
        <v>54</v>
      </c>
      <c r="P30" s="6">
        <v>83.16</v>
      </c>
      <c r="Q30" s="6">
        <v>134</v>
      </c>
      <c r="R30" s="239">
        <v>154</v>
      </c>
      <c r="S30" s="265">
        <v>105</v>
      </c>
      <c r="T30" s="265">
        <v>113</v>
      </c>
      <c r="U30" s="190">
        <v>184</v>
      </c>
      <c r="V30" s="330">
        <v>224</v>
      </c>
      <c r="W30" s="190">
        <v>151</v>
      </c>
      <c r="X30" s="190">
        <v>189</v>
      </c>
      <c r="Y30" s="367"/>
    </row>
    <row r="31" spans="1:25" ht="19.5" customHeight="1">
      <c r="A31" s="7" t="s">
        <v>75</v>
      </c>
      <c r="B31" s="8"/>
      <c r="C31" s="9"/>
      <c r="D31" s="6">
        <v>9968</v>
      </c>
      <c r="E31" s="6">
        <v>13173</v>
      </c>
      <c r="F31" s="6">
        <v>15721</v>
      </c>
      <c r="G31" s="6">
        <v>13169</v>
      </c>
      <c r="H31" s="6">
        <v>10188</v>
      </c>
      <c r="I31" s="6">
        <v>10598</v>
      </c>
      <c r="J31" s="6">
        <v>10989</v>
      </c>
      <c r="K31" s="6">
        <v>10008</v>
      </c>
      <c r="L31" s="6">
        <v>15047</v>
      </c>
      <c r="M31" s="6">
        <f t="shared" si="5"/>
        <v>16551.7</v>
      </c>
      <c r="N31" s="172">
        <v>15090.47</v>
      </c>
      <c r="O31" s="6">
        <v>14422</v>
      </c>
      <c r="P31" s="6">
        <v>13858.38</v>
      </c>
      <c r="Q31" s="6">
        <v>15043</v>
      </c>
      <c r="R31" s="239">
        <v>17298</v>
      </c>
      <c r="S31" s="265">
        <v>20934</v>
      </c>
      <c r="T31" s="265">
        <v>20035</v>
      </c>
      <c r="U31" s="190">
        <v>19888</v>
      </c>
      <c r="V31" s="330">
        <v>27133</v>
      </c>
      <c r="W31" s="190">
        <v>36646</v>
      </c>
      <c r="X31" s="190">
        <v>37655</v>
      </c>
      <c r="Y31" s="367"/>
    </row>
    <row r="32" spans="1:25" ht="19.5" customHeight="1">
      <c r="A32" s="7" t="s">
        <v>65</v>
      </c>
      <c r="B32" s="8"/>
      <c r="C32" s="9"/>
      <c r="D32" s="6">
        <v>8</v>
      </c>
      <c r="E32" s="6">
        <v>69</v>
      </c>
      <c r="F32" s="6">
        <v>158</v>
      </c>
      <c r="G32" s="6">
        <v>203</v>
      </c>
      <c r="H32" s="6">
        <v>109</v>
      </c>
      <c r="I32" s="6">
        <v>65</v>
      </c>
      <c r="J32" s="6">
        <v>40.9</v>
      </c>
      <c r="K32" s="6">
        <v>241</v>
      </c>
      <c r="L32" s="6">
        <v>412</v>
      </c>
      <c r="M32" s="6">
        <f t="shared" si="5"/>
        <v>453.20000000000005</v>
      </c>
      <c r="N32" s="172">
        <v>167.19</v>
      </c>
      <c r="O32" s="6">
        <v>97</v>
      </c>
      <c r="P32" s="6">
        <v>30.6</v>
      </c>
      <c r="Q32" s="6">
        <v>78</v>
      </c>
      <c r="R32" s="239">
        <v>56</v>
      </c>
      <c r="S32" s="265">
        <v>106</v>
      </c>
      <c r="T32" s="265">
        <v>102</v>
      </c>
      <c r="U32" s="190">
        <v>94</v>
      </c>
      <c r="V32" s="330">
        <v>107</v>
      </c>
      <c r="W32" s="190">
        <v>135</v>
      </c>
      <c r="X32" s="190">
        <v>65</v>
      </c>
      <c r="Y32" s="367"/>
    </row>
    <row r="33" spans="1:25" ht="19.5" customHeight="1">
      <c r="A33" s="7" t="s">
        <v>66</v>
      </c>
      <c r="B33" s="8"/>
      <c r="C33" s="9"/>
      <c r="D33" s="6">
        <v>2354</v>
      </c>
      <c r="E33" s="6">
        <v>2843</v>
      </c>
      <c r="F33" s="6">
        <v>3942</v>
      </c>
      <c r="G33" s="6">
        <v>4195</v>
      </c>
      <c r="H33" s="6">
        <v>3508</v>
      </c>
      <c r="I33" s="6">
        <v>4146</v>
      </c>
      <c r="J33" s="6">
        <v>3187.84</v>
      </c>
      <c r="K33" s="6">
        <v>3297</v>
      </c>
      <c r="L33" s="6">
        <v>0</v>
      </c>
      <c r="M33" s="6"/>
      <c r="N33" s="172">
        <v>4658.09</v>
      </c>
      <c r="O33" s="6">
        <v>3712</v>
      </c>
      <c r="P33" s="6">
        <v>3836.42</v>
      </c>
      <c r="Q33" s="6">
        <v>3276</v>
      </c>
      <c r="R33" s="239">
        <v>3461</v>
      </c>
      <c r="S33" s="265">
        <v>1415</v>
      </c>
      <c r="T33" s="265">
        <v>1862</v>
      </c>
      <c r="U33" s="190">
        <v>2251</v>
      </c>
      <c r="V33" s="330">
        <v>2373</v>
      </c>
      <c r="W33" s="190">
        <v>2360</v>
      </c>
      <c r="X33" s="190">
        <v>2439</v>
      </c>
      <c r="Y33" s="367"/>
    </row>
    <row r="34" spans="1:25" ht="19.5" customHeight="1">
      <c r="A34" s="7" t="s">
        <v>26</v>
      </c>
      <c r="B34" s="8"/>
      <c r="C34" s="9"/>
      <c r="D34" s="6">
        <v>37</v>
      </c>
      <c r="E34" s="6">
        <v>21</v>
      </c>
      <c r="F34" s="6">
        <v>185</v>
      </c>
      <c r="G34" s="6">
        <v>205</v>
      </c>
      <c r="H34" s="6">
        <v>123</v>
      </c>
      <c r="I34" s="6">
        <v>96</v>
      </c>
      <c r="J34" s="6">
        <v>147.27</v>
      </c>
      <c r="K34" s="6">
        <v>21</v>
      </c>
      <c r="L34" s="6">
        <v>20</v>
      </c>
      <c r="M34" s="6">
        <f>L34*1.1</f>
        <v>22</v>
      </c>
      <c r="N34" s="172">
        <v>51.87</v>
      </c>
      <c r="O34" s="6">
        <v>45</v>
      </c>
      <c r="P34" s="6">
        <v>11</v>
      </c>
      <c r="Q34" s="6">
        <v>13</v>
      </c>
      <c r="R34" s="239">
        <v>27</v>
      </c>
      <c r="S34" s="265">
        <v>20</v>
      </c>
      <c r="T34" s="265">
        <v>6</v>
      </c>
      <c r="U34" s="190">
        <v>34</v>
      </c>
      <c r="V34" s="330">
        <v>44</v>
      </c>
      <c r="W34" s="190">
        <v>53</v>
      </c>
      <c r="X34" s="190">
        <v>59</v>
      </c>
      <c r="Y34" s="367"/>
    </row>
    <row r="35" spans="1:25" ht="19.5" customHeight="1">
      <c r="A35" s="7" t="s">
        <v>27</v>
      </c>
      <c r="B35" s="8"/>
      <c r="C35" s="9"/>
      <c r="D35" s="6"/>
      <c r="E35" s="6"/>
      <c r="F35" s="6"/>
      <c r="G35" s="6">
        <v>7</v>
      </c>
      <c r="H35" s="6">
        <v>54</v>
      </c>
      <c r="I35" s="6">
        <v>257.66</v>
      </c>
      <c r="J35" s="6">
        <v>392</v>
      </c>
      <c r="K35" s="6">
        <v>336</v>
      </c>
      <c r="L35" s="6">
        <v>799</v>
      </c>
      <c r="M35" s="6">
        <f>L35*1.1</f>
        <v>878.9000000000001</v>
      </c>
      <c r="N35" s="172">
        <v>2404.85</v>
      </c>
      <c r="O35" s="6">
        <v>1163</v>
      </c>
      <c r="P35" s="6">
        <v>1213.25</v>
      </c>
      <c r="Q35" s="6">
        <v>1123</v>
      </c>
      <c r="R35" s="239">
        <v>1151</v>
      </c>
      <c r="S35" s="265">
        <v>473</v>
      </c>
      <c r="T35" s="265">
        <v>689</v>
      </c>
      <c r="U35" s="190">
        <v>951</v>
      </c>
      <c r="V35" s="330">
        <v>1390</v>
      </c>
      <c r="W35" s="190">
        <v>1380</v>
      </c>
      <c r="X35" s="190">
        <v>1727</v>
      </c>
      <c r="Y35" s="367"/>
    </row>
    <row r="36" spans="1:25" ht="19.5" customHeight="1">
      <c r="A36" s="7" t="s">
        <v>28</v>
      </c>
      <c r="B36" s="8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172"/>
      <c r="O36" s="6">
        <v>0</v>
      </c>
      <c r="P36" s="6"/>
      <c r="Q36" s="6">
        <f>3687+185+130</f>
        <v>4002</v>
      </c>
      <c r="R36" s="239">
        <v>3816</v>
      </c>
      <c r="S36" s="265">
        <v>3760</v>
      </c>
      <c r="T36" s="265">
        <v>3709</v>
      </c>
      <c r="U36" s="190">
        <v>2742</v>
      </c>
      <c r="V36" s="330">
        <v>4515</v>
      </c>
      <c r="W36" s="190">
        <v>4110</v>
      </c>
      <c r="X36" s="190">
        <v>4558</v>
      </c>
      <c r="Y36" s="367"/>
    </row>
    <row r="37" spans="1:25" s="21" customFormat="1" ht="19.5" customHeight="1">
      <c r="A37" s="150" t="s">
        <v>29</v>
      </c>
      <c r="B37" s="151"/>
      <c r="C37" s="152"/>
      <c r="D37" s="125">
        <v>16628</v>
      </c>
      <c r="E37" s="125">
        <v>20033</v>
      </c>
      <c r="F37" s="125">
        <v>25872</v>
      </c>
      <c r="G37" s="125">
        <v>22578</v>
      </c>
      <c r="H37" s="125">
        <v>16732</v>
      </c>
      <c r="I37" s="125">
        <f>SUM(I26:I35)</f>
        <v>21925.26</v>
      </c>
      <c r="J37" s="125">
        <f>SUM(J26:J35)</f>
        <v>21957.070000000003</v>
      </c>
      <c r="K37" s="125">
        <f aca="true" t="shared" si="6" ref="K37:R37">SUM(K26:K36)</f>
        <v>22353</v>
      </c>
      <c r="L37" s="125">
        <f t="shared" si="6"/>
        <v>25696</v>
      </c>
      <c r="M37" s="125">
        <f t="shared" si="6"/>
        <v>28265.600000000002</v>
      </c>
      <c r="N37" s="125">
        <f t="shared" si="6"/>
        <v>28546.569999999996</v>
      </c>
      <c r="O37" s="125">
        <f t="shared" si="6"/>
        <v>25111</v>
      </c>
      <c r="P37" s="125">
        <f t="shared" si="6"/>
        <v>26031.729999999996</v>
      </c>
      <c r="Q37" s="125">
        <f t="shared" si="6"/>
        <v>31538</v>
      </c>
      <c r="R37" s="125">
        <f t="shared" si="6"/>
        <v>34320</v>
      </c>
      <c r="S37" s="266">
        <f aca="true" t="shared" si="7" ref="S37:Y37">SUM(S26:S36)</f>
        <v>35413</v>
      </c>
      <c r="T37" s="266">
        <f t="shared" si="7"/>
        <v>38932</v>
      </c>
      <c r="U37" s="312">
        <f t="shared" si="7"/>
        <v>41068</v>
      </c>
      <c r="V37" s="331">
        <f t="shared" si="7"/>
        <v>51135</v>
      </c>
      <c r="W37" s="312">
        <f t="shared" si="7"/>
        <v>59830</v>
      </c>
      <c r="X37" s="368">
        <f t="shared" si="7"/>
        <v>67449</v>
      </c>
      <c r="Y37" s="312">
        <f t="shared" si="7"/>
        <v>0</v>
      </c>
    </row>
    <row r="38" spans="1:25" s="16" customFormat="1" ht="19.5" customHeight="1">
      <c r="A38" s="17" t="s">
        <v>30</v>
      </c>
      <c r="B38" s="18"/>
      <c r="C38" s="19"/>
      <c r="D38" s="22"/>
      <c r="E38" s="22"/>
      <c r="F38" s="22"/>
      <c r="G38" s="22"/>
      <c r="H38" s="22"/>
      <c r="I38" s="20">
        <v>0</v>
      </c>
      <c r="J38" s="20"/>
      <c r="K38" s="20">
        <v>0</v>
      </c>
      <c r="L38" s="20"/>
      <c r="M38" s="20"/>
      <c r="N38" s="173">
        <v>7.89</v>
      </c>
      <c r="O38" s="20">
        <v>0</v>
      </c>
      <c r="P38" s="20">
        <v>9.6</v>
      </c>
      <c r="Q38" s="20">
        <v>0</v>
      </c>
      <c r="R38" s="208">
        <v>0</v>
      </c>
      <c r="S38" s="265">
        <v>0</v>
      </c>
      <c r="T38" s="265">
        <v>0</v>
      </c>
      <c r="U38" s="190"/>
      <c r="V38" s="330">
        <v>0</v>
      </c>
      <c r="W38" s="190">
        <v>0</v>
      </c>
      <c r="X38" s="190">
        <v>0</v>
      </c>
      <c r="Y38" s="370"/>
    </row>
    <row r="39" spans="1:25" ht="19.5" customHeight="1">
      <c r="A39" s="7" t="s">
        <v>76</v>
      </c>
      <c r="B39" s="8"/>
      <c r="C39" s="9"/>
      <c r="D39" s="6">
        <v>3022</v>
      </c>
      <c r="E39" s="6">
        <v>4348</v>
      </c>
      <c r="F39" s="6">
        <v>3137</v>
      </c>
      <c r="G39" s="6">
        <v>2625</v>
      </c>
      <c r="H39" s="6">
        <v>4221</v>
      </c>
      <c r="I39" s="6">
        <v>2687.67</v>
      </c>
      <c r="J39" s="6">
        <v>3051</v>
      </c>
      <c r="K39" s="20">
        <v>4800</v>
      </c>
      <c r="L39" s="6">
        <v>4700</v>
      </c>
      <c r="M39" s="6">
        <f>L39*1.1</f>
        <v>5170</v>
      </c>
      <c r="N39" s="172">
        <v>4382.01</v>
      </c>
      <c r="O39" s="6">
        <v>3924</v>
      </c>
      <c r="P39" s="6">
        <v>5772.14</v>
      </c>
      <c r="Q39" s="6">
        <v>7698</v>
      </c>
      <c r="R39" s="206">
        <v>8178</v>
      </c>
      <c r="S39" s="265">
        <v>6339</v>
      </c>
      <c r="T39" s="6">
        <v>8631</v>
      </c>
      <c r="U39" s="190">
        <v>10102</v>
      </c>
      <c r="V39" s="330">
        <v>11697</v>
      </c>
      <c r="W39" s="190">
        <v>12300</v>
      </c>
      <c r="X39" s="190">
        <v>11809</v>
      </c>
      <c r="Y39" s="370"/>
    </row>
    <row r="40" spans="1:25" ht="19.5" customHeight="1">
      <c r="A40" s="45" t="s">
        <v>93</v>
      </c>
      <c r="B40" s="8"/>
      <c r="C40" s="9"/>
      <c r="D40" s="6">
        <v>502</v>
      </c>
      <c r="E40" s="6">
        <v>646</v>
      </c>
      <c r="F40" s="6">
        <v>144</v>
      </c>
      <c r="G40" s="6">
        <v>180</v>
      </c>
      <c r="H40" s="6">
        <v>160</v>
      </c>
      <c r="I40" s="6">
        <v>31.79</v>
      </c>
      <c r="J40" s="6">
        <v>49.29</v>
      </c>
      <c r="K40" s="6">
        <v>53</v>
      </c>
      <c r="L40" s="6">
        <v>43</v>
      </c>
      <c r="M40" s="6">
        <f>L40*1.1</f>
        <v>47.300000000000004</v>
      </c>
      <c r="N40" s="172"/>
      <c r="O40" s="6">
        <v>0</v>
      </c>
      <c r="P40" s="6"/>
      <c r="Q40" s="6">
        <v>0</v>
      </c>
      <c r="R40" s="206">
        <v>0</v>
      </c>
      <c r="S40" s="265">
        <v>0</v>
      </c>
      <c r="T40" s="6">
        <v>0</v>
      </c>
      <c r="U40" s="190"/>
      <c r="V40" s="330">
        <v>0</v>
      </c>
      <c r="W40" s="190">
        <v>0</v>
      </c>
      <c r="X40" s="190">
        <v>0</v>
      </c>
      <c r="Y40" s="370"/>
    </row>
    <row r="41" spans="1:25" ht="19.5" customHeight="1">
      <c r="A41" s="45" t="s">
        <v>92</v>
      </c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172">
        <v>209.21</v>
      </c>
      <c r="O41" s="6">
        <v>268</v>
      </c>
      <c r="P41" s="6">
        <v>266.43</v>
      </c>
      <c r="Q41" s="6">
        <v>56</v>
      </c>
      <c r="R41" s="206">
        <v>128</v>
      </c>
      <c r="S41" s="265">
        <v>84</v>
      </c>
      <c r="T41" s="6">
        <v>219</v>
      </c>
      <c r="U41" s="190">
        <v>195</v>
      </c>
      <c r="V41" s="330">
        <v>75</v>
      </c>
      <c r="W41" s="190">
        <v>129</v>
      </c>
      <c r="X41" s="190">
        <v>235</v>
      </c>
      <c r="Y41" s="370"/>
    </row>
    <row r="42" spans="1:25" ht="19.5" customHeight="1">
      <c r="A42" s="7" t="s">
        <v>33</v>
      </c>
      <c r="B42" s="8"/>
      <c r="C42" s="9"/>
      <c r="D42" s="6">
        <v>758</v>
      </c>
      <c r="E42" s="6">
        <v>878</v>
      </c>
      <c r="F42" s="6">
        <v>734</v>
      </c>
      <c r="G42" s="6">
        <v>1087</v>
      </c>
      <c r="H42" s="6">
        <v>828</v>
      </c>
      <c r="I42" s="6">
        <v>702.56</v>
      </c>
      <c r="J42" s="6">
        <v>549</v>
      </c>
      <c r="K42" s="6">
        <v>792</v>
      </c>
      <c r="L42" s="6">
        <v>1337</v>
      </c>
      <c r="M42" s="6">
        <f>L42*1.1</f>
        <v>1470.7</v>
      </c>
      <c r="N42" s="172">
        <v>1536.7</v>
      </c>
      <c r="O42" s="6">
        <v>1418</v>
      </c>
      <c r="P42" s="6">
        <v>2122.86</v>
      </c>
      <c r="Q42" s="6">
        <v>1247</v>
      </c>
      <c r="R42" s="206">
        <v>1771</v>
      </c>
      <c r="S42" s="265">
        <v>2791</v>
      </c>
      <c r="T42" s="6">
        <v>2874</v>
      </c>
      <c r="U42" s="190">
        <v>1709</v>
      </c>
      <c r="V42" s="330">
        <v>624</v>
      </c>
      <c r="W42" s="190">
        <v>670</v>
      </c>
      <c r="X42" s="190">
        <v>1304</v>
      </c>
      <c r="Y42" s="370"/>
    </row>
    <row r="43" spans="1:25" ht="19.5" customHeight="1">
      <c r="A43" s="7" t="s">
        <v>34</v>
      </c>
      <c r="B43" s="8"/>
      <c r="C43" s="9"/>
      <c r="D43" s="6">
        <v>1239</v>
      </c>
      <c r="E43" s="6">
        <v>711</v>
      </c>
      <c r="F43" s="6">
        <v>589</v>
      </c>
      <c r="G43" s="6">
        <v>426</v>
      </c>
      <c r="H43" s="6">
        <v>274</v>
      </c>
      <c r="I43" s="6">
        <v>284.71</v>
      </c>
      <c r="J43" s="6">
        <v>319</v>
      </c>
      <c r="K43" s="6">
        <v>281</v>
      </c>
      <c r="L43" s="6">
        <v>230</v>
      </c>
      <c r="M43" s="6">
        <f>L43*1.1</f>
        <v>253.00000000000003</v>
      </c>
      <c r="N43" s="172">
        <v>270.94</v>
      </c>
      <c r="O43" s="6">
        <v>286</v>
      </c>
      <c r="P43" s="6">
        <v>215.18</v>
      </c>
      <c r="Q43" s="6">
        <v>209</v>
      </c>
      <c r="R43" s="206">
        <v>189</v>
      </c>
      <c r="S43" s="265">
        <v>168</v>
      </c>
      <c r="T43" s="6">
        <v>130</v>
      </c>
      <c r="U43" s="190">
        <v>140</v>
      </c>
      <c r="V43" s="330">
        <v>113</v>
      </c>
      <c r="W43" s="190">
        <v>109</v>
      </c>
      <c r="X43" s="190">
        <v>123</v>
      </c>
      <c r="Y43" s="370"/>
    </row>
    <row r="44" spans="1:25" ht="19.5" customHeight="1">
      <c r="A44" s="7" t="s">
        <v>77</v>
      </c>
      <c r="B44" s="8"/>
      <c r="C44" s="9"/>
      <c r="D44" s="6" t="s">
        <v>64</v>
      </c>
      <c r="E44" s="6">
        <v>7500</v>
      </c>
      <c r="F44" s="6">
        <v>10800</v>
      </c>
      <c r="G44" s="6">
        <v>10272</v>
      </c>
      <c r="H44" s="6">
        <v>10600</v>
      </c>
      <c r="I44" s="6">
        <v>11112</v>
      </c>
      <c r="J44" s="6">
        <v>10790</v>
      </c>
      <c r="K44" s="6">
        <v>10197</v>
      </c>
      <c r="L44" s="6">
        <v>11250</v>
      </c>
      <c r="M44" s="6">
        <v>8176</v>
      </c>
      <c r="N44" s="172">
        <v>10197</v>
      </c>
      <c r="O44" s="6">
        <v>14024</v>
      </c>
      <c r="P44" s="6">
        <v>13500</v>
      </c>
      <c r="Q44" s="6">
        <v>19374</v>
      </c>
      <c r="R44" s="206">
        <v>19479</v>
      </c>
      <c r="S44" s="265">
        <v>18872</v>
      </c>
      <c r="T44" s="6">
        <v>19500</v>
      </c>
      <c r="U44" s="190">
        <v>26000</v>
      </c>
      <c r="V44" s="330">
        <v>32950</v>
      </c>
      <c r="W44" s="190">
        <v>37700</v>
      </c>
      <c r="X44" s="190">
        <v>20683</v>
      </c>
      <c r="Y44" s="370"/>
    </row>
    <row r="45" spans="1:25" ht="19.5" customHeight="1">
      <c r="A45" s="7" t="s">
        <v>36</v>
      </c>
      <c r="B45" s="8"/>
      <c r="C45" s="9"/>
      <c r="D45" s="6">
        <v>4323</v>
      </c>
      <c r="E45" s="6">
        <v>4606</v>
      </c>
      <c r="F45" s="6">
        <v>3826</v>
      </c>
      <c r="G45" s="6">
        <v>2951</v>
      </c>
      <c r="H45" s="6">
        <v>2532</v>
      </c>
      <c r="I45" s="6">
        <v>2228</v>
      </c>
      <c r="J45" s="6">
        <v>3678</v>
      </c>
      <c r="K45" s="6">
        <v>3542</v>
      </c>
      <c r="L45" s="6">
        <v>2623</v>
      </c>
      <c r="M45" s="6">
        <f>L45*1.1</f>
        <v>2885.3</v>
      </c>
      <c r="N45" s="172">
        <v>3766.37</v>
      </c>
      <c r="O45" s="6">
        <v>3925</v>
      </c>
      <c r="P45" s="6">
        <v>2247.59</v>
      </c>
      <c r="Q45" s="6">
        <v>2183</v>
      </c>
      <c r="R45" s="206">
        <v>4395</v>
      </c>
      <c r="S45" s="265">
        <v>3790</v>
      </c>
      <c r="T45" s="6">
        <v>2859</v>
      </c>
      <c r="U45" s="190">
        <v>3483</v>
      </c>
      <c r="V45" s="330">
        <v>3149</v>
      </c>
      <c r="W45" s="190">
        <v>4020</v>
      </c>
      <c r="X45" s="190">
        <v>5559</v>
      </c>
      <c r="Y45" s="370"/>
    </row>
    <row r="46" spans="1:25" ht="19.5" customHeight="1">
      <c r="A46" s="7" t="s">
        <v>37</v>
      </c>
      <c r="B46" s="8"/>
      <c r="C46" s="9"/>
      <c r="D46" s="6" t="s">
        <v>64</v>
      </c>
      <c r="E46" s="6" t="s">
        <v>64</v>
      </c>
      <c r="F46" s="6">
        <v>948</v>
      </c>
      <c r="G46" s="6">
        <v>832</v>
      </c>
      <c r="H46" s="6">
        <v>1394</v>
      </c>
      <c r="I46" s="6">
        <v>228.42</v>
      </c>
      <c r="J46" s="6">
        <v>3586.17</v>
      </c>
      <c r="K46" s="6">
        <v>3600</v>
      </c>
      <c r="L46" s="6"/>
      <c r="M46" s="6"/>
      <c r="N46" s="172"/>
      <c r="O46" s="6">
        <v>3900</v>
      </c>
      <c r="P46" s="6">
        <v>2800</v>
      </c>
      <c r="Q46" s="6">
        <v>684</v>
      </c>
      <c r="R46" s="206">
        <v>535</v>
      </c>
      <c r="S46" s="265">
        <v>547</v>
      </c>
      <c r="T46" s="6">
        <v>12045</v>
      </c>
      <c r="U46" s="190">
        <v>3</v>
      </c>
      <c r="V46" s="330">
        <v>1300</v>
      </c>
      <c r="W46" s="190">
        <v>667</v>
      </c>
      <c r="X46" s="190">
        <v>2174</v>
      </c>
      <c r="Y46" s="370"/>
    </row>
    <row r="47" spans="1:25" s="21" customFormat="1" ht="19.5" customHeight="1">
      <c r="A47" s="150" t="s">
        <v>38</v>
      </c>
      <c r="B47" s="151"/>
      <c r="C47" s="152"/>
      <c r="D47" s="125">
        <f>SUM(D39:D46)</f>
        <v>9844</v>
      </c>
      <c r="E47" s="125">
        <f>SUM(E39:E46)</f>
        <v>18689</v>
      </c>
      <c r="F47" s="125">
        <f>SUM(F39:F46)</f>
        <v>20178</v>
      </c>
      <c r="G47" s="125">
        <f>SUM(G39:G46)</f>
        <v>18373</v>
      </c>
      <c r="H47" s="125">
        <f>SUM(H39:H46)</f>
        <v>20009</v>
      </c>
      <c r="I47" s="125">
        <f aca="true" t="shared" si="8" ref="I47:P47">SUM(I38:I46)</f>
        <v>17275.149999999998</v>
      </c>
      <c r="J47" s="125">
        <f t="shared" si="8"/>
        <v>22022.46</v>
      </c>
      <c r="K47" s="125">
        <f t="shared" si="8"/>
        <v>23265</v>
      </c>
      <c r="L47" s="125">
        <f t="shared" si="8"/>
        <v>20183</v>
      </c>
      <c r="M47" s="125">
        <f t="shared" si="8"/>
        <v>18002.3</v>
      </c>
      <c r="N47" s="125">
        <f t="shared" si="8"/>
        <v>20370.12</v>
      </c>
      <c r="O47" s="125">
        <f t="shared" si="8"/>
        <v>27745</v>
      </c>
      <c r="P47" s="125">
        <f t="shared" si="8"/>
        <v>26933.8</v>
      </c>
      <c r="Q47" s="125">
        <f aca="true" t="shared" si="9" ref="Q47:W47">SUM(Q38:Q46)</f>
        <v>31451</v>
      </c>
      <c r="R47" s="125">
        <f t="shared" si="9"/>
        <v>34675</v>
      </c>
      <c r="S47" s="266">
        <f t="shared" si="9"/>
        <v>32591</v>
      </c>
      <c r="T47" s="266">
        <f t="shared" si="9"/>
        <v>46258</v>
      </c>
      <c r="U47" s="312">
        <f t="shared" si="9"/>
        <v>41632</v>
      </c>
      <c r="V47" s="331">
        <f t="shared" si="9"/>
        <v>49908</v>
      </c>
      <c r="W47" s="312">
        <f t="shared" si="9"/>
        <v>55595</v>
      </c>
      <c r="X47" s="368">
        <f>SUM(X38:X46)</f>
        <v>41887</v>
      </c>
      <c r="Y47" s="312">
        <f>SUM(Y38:Y46)</f>
        <v>0</v>
      </c>
    </row>
    <row r="48" spans="1:25" ht="12.75">
      <c r="A48" s="385" t="s">
        <v>89</v>
      </c>
      <c r="B48" s="386"/>
      <c r="C48" s="387"/>
      <c r="D48" s="125">
        <f aca="true" t="shared" si="10" ref="D48:K48">(D15+D25+D37+D47)</f>
        <v>213335</v>
      </c>
      <c r="E48" s="125">
        <f t="shared" si="10"/>
        <v>229870</v>
      </c>
      <c r="F48" s="125">
        <f t="shared" si="10"/>
        <v>239819</v>
      </c>
      <c r="G48" s="125">
        <f t="shared" si="10"/>
        <v>236382</v>
      </c>
      <c r="H48" s="125">
        <f t="shared" si="10"/>
        <v>234198</v>
      </c>
      <c r="I48" s="125">
        <f t="shared" si="10"/>
        <v>255918.00999999998</v>
      </c>
      <c r="J48" s="125">
        <f t="shared" si="10"/>
        <v>264543.85</v>
      </c>
      <c r="K48" s="125">
        <f t="shared" si="10"/>
        <v>272790</v>
      </c>
      <c r="L48" s="125">
        <f aca="true" t="shared" si="11" ref="L48:R48">(L15+L25+L37+L47)</f>
        <v>199058</v>
      </c>
      <c r="M48" s="125">
        <f t="shared" si="11"/>
        <v>214780.80000000005</v>
      </c>
      <c r="N48" s="125">
        <f t="shared" si="11"/>
        <v>204840.66999999998</v>
      </c>
      <c r="O48" s="125">
        <f t="shared" si="11"/>
        <v>243720</v>
      </c>
      <c r="P48" s="125">
        <f t="shared" si="11"/>
        <v>208610.39</v>
      </c>
      <c r="Q48" s="125">
        <f t="shared" si="11"/>
        <v>200227</v>
      </c>
      <c r="R48" s="125">
        <f t="shared" si="11"/>
        <v>176115</v>
      </c>
      <c r="S48" s="266">
        <f>(S15+S25+S37+S47)</f>
        <v>207678</v>
      </c>
      <c r="T48" s="266">
        <v>238095</v>
      </c>
      <c r="U48" s="312">
        <f>(U15+U25+U37+U47)</f>
        <v>212629</v>
      </c>
      <c r="V48" s="331">
        <f>(V15+V25+V37+V47)</f>
        <v>229053</v>
      </c>
      <c r="W48" s="369">
        <f>(W15+W25+W37+W47)</f>
        <v>256106</v>
      </c>
      <c r="X48" s="368">
        <f>(X15+X25+X37+X47)</f>
        <v>228057.3</v>
      </c>
      <c r="Y48" s="369">
        <f>(Y15+Y25+Y37+Y47)</f>
        <v>92238</v>
      </c>
    </row>
  </sheetData>
  <sheetProtection/>
  <mergeCells count="2">
    <mergeCell ref="A2:I2"/>
    <mergeCell ref="A48:C48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tabSelected="1" zoomScale="95" zoomScaleNormal="95" zoomScalePageLayoutView="0" workbookViewId="0" topLeftCell="A3">
      <pane ySplit="3" topLeftCell="A30" activePane="bottomLeft" state="frozen"/>
      <selection pane="topLeft" activeCell="A3" sqref="A3"/>
      <selection pane="bottomLeft" activeCell="AA44" sqref="AA44"/>
    </sheetView>
  </sheetViews>
  <sheetFormatPr defaultColWidth="11.421875" defaultRowHeight="12.75"/>
  <cols>
    <col min="3" max="3" width="5.140625" style="0" customWidth="1"/>
    <col min="4" max="9" width="11.421875" style="0" hidden="1" customWidth="1"/>
    <col min="10" max="15" width="0" style="0" hidden="1" customWidth="1"/>
  </cols>
  <sheetData>
    <row r="1" spans="1:9" ht="16.5" customHeight="1">
      <c r="A1" s="4" t="s">
        <v>86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18" ht="16.5" customHeight="1">
      <c r="A3" s="372" t="s">
        <v>41</v>
      </c>
      <c r="B3" s="372"/>
      <c r="C3" s="372"/>
      <c r="D3" s="372"/>
      <c r="E3" s="372"/>
      <c r="F3" s="372"/>
      <c r="G3" s="372"/>
      <c r="H3" s="372"/>
      <c r="I3" s="372"/>
      <c r="R3" t="s">
        <v>39</v>
      </c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5" s="24" customFormat="1" ht="19.5" customHeight="1">
      <c r="A5" s="23" t="s">
        <v>0</v>
      </c>
      <c r="B5" s="2"/>
      <c r="C5" s="3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12">
        <v>2002</v>
      </c>
      <c r="J5" s="112">
        <v>2003</v>
      </c>
      <c r="K5" s="148">
        <v>2004</v>
      </c>
      <c r="L5" s="112">
        <v>2005</v>
      </c>
      <c r="M5" s="148">
        <v>2006</v>
      </c>
      <c r="N5" s="112">
        <v>2007</v>
      </c>
      <c r="O5" s="112">
        <v>2008</v>
      </c>
      <c r="P5" s="112">
        <v>2009</v>
      </c>
      <c r="Q5" s="112">
        <v>2010</v>
      </c>
      <c r="R5" s="112">
        <v>2011</v>
      </c>
      <c r="S5" s="112">
        <v>2012</v>
      </c>
      <c r="T5" s="112">
        <v>2013</v>
      </c>
      <c r="U5" s="112">
        <v>2014</v>
      </c>
      <c r="V5" s="112">
        <v>2015</v>
      </c>
      <c r="W5" s="112">
        <v>2016</v>
      </c>
      <c r="X5" s="112">
        <v>2017</v>
      </c>
      <c r="Y5" s="112">
        <v>2018</v>
      </c>
    </row>
    <row r="6" spans="1:25" ht="19.5" customHeight="1">
      <c r="A6" s="7" t="s">
        <v>1</v>
      </c>
      <c r="B6" s="8"/>
      <c r="C6" s="9"/>
      <c r="D6" s="6">
        <v>8711</v>
      </c>
      <c r="E6" s="6">
        <v>12718</v>
      </c>
      <c r="F6" s="6">
        <v>16197</v>
      </c>
      <c r="G6" s="6">
        <v>14873</v>
      </c>
      <c r="H6" s="6">
        <v>11926</v>
      </c>
      <c r="I6" s="6">
        <v>10038</v>
      </c>
      <c r="J6" s="6">
        <v>9200</v>
      </c>
      <c r="K6" s="65">
        <v>13370</v>
      </c>
      <c r="L6" s="89">
        <v>16500</v>
      </c>
      <c r="M6" s="89">
        <v>14500</v>
      </c>
      <c r="N6" s="89">
        <v>10800</v>
      </c>
      <c r="O6" s="5">
        <v>10600</v>
      </c>
      <c r="P6" s="5">
        <v>10700</v>
      </c>
      <c r="Q6" s="5">
        <v>8700</v>
      </c>
      <c r="R6" s="6">
        <v>8287</v>
      </c>
      <c r="S6" s="5">
        <v>11043</v>
      </c>
      <c r="T6" s="227">
        <v>12627.250000000013</v>
      </c>
      <c r="U6" s="227">
        <v>12399</v>
      </c>
      <c r="V6" s="227">
        <v>11507</v>
      </c>
      <c r="W6" s="227">
        <v>9987</v>
      </c>
      <c r="X6" s="227">
        <v>7890</v>
      </c>
      <c r="Y6" s="227">
        <v>7376</v>
      </c>
    </row>
    <row r="7" spans="1:25" ht="19.5" customHeight="1">
      <c r="A7" s="7" t="s">
        <v>2</v>
      </c>
      <c r="B7" s="8"/>
      <c r="C7" s="9"/>
      <c r="D7" s="6"/>
      <c r="E7" s="6"/>
      <c r="F7" s="6"/>
      <c r="G7" s="6"/>
      <c r="H7" s="6"/>
      <c r="I7" s="6"/>
      <c r="J7" s="6"/>
      <c r="K7" s="5"/>
      <c r="L7" s="89"/>
      <c r="M7" s="89"/>
      <c r="N7" s="89"/>
      <c r="O7" s="5"/>
      <c r="P7" s="5"/>
      <c r="Q7" s="5"/>
      <c r="R7" s="6"/>
      <c r="S7" s="5"/>
      <c r="T7" s="227"/>
      <c r="U7" s="227"/>
      <c r="V7" s="227"/>
      <c r="W7" s="227"/>
      <c r="X7" s="227"/>
      <c r="Y7" s="227"/>
    </row>
    <row r="8" spans="1:25" ht="19.5" customHeight="1">
      <c r="A8" s="7" t="s">
        <v>42</v>
      </c>
      <c r="B8" s="8"/>
      <c r="C8" s="9"/>
      <c r="D8" s="6">
        <v>7280</v>
      </c>
      <c r="E8" s="6">
        <v>9619</v>
      </c>
      <c r="F8" s="6">
        <v>10760</v>
      </c>
      <c r="G8" s="6">
        <v>12197</v>
      </c>
      <c r="H8" s="6">
        <v>11527</v>
      </c>
      <c r="I8" s="6">
        <v>9481</v>
      </c>
      <c r="J8" s="6">
        <v>9000</v>
      </c>
      <c r="K8" s="65">
        <v>6380</v>
      </c>
      <c r="L8" s="89">
        <v>6600</v>
      </c>
      <c r="M8" s="89">
        <v>7000</v>
      </c>
      <c r="N8" s="89">
        <v>9000</v>
      </c>
      <c r="O8" s="5">
        <v>8500</v>
      </c>
      <c r="P8" s="5">
        <v>8710</v>
      </c>
      <c r="Q8" s="5">
        <v>6700</v>
      </c>
      <c r="R8" s="6">
        <v>6784</v>
      </c>
      <c r="S8" s="5">
        <v>7697</v>
      </c>
      <c r="T8" s="227">
        <v>8728.290000000003</v>
      </c>
      <c r="U8" s="227">
        <v>7379</v>
      </c>
      <c r="V8" s="227">
        <v>6729</v>
      </c>
      <c r="W8" s="227">
        <v>7705</v>
      </c>
      <c r="X8" s="227">
        <v>9258</v>
      </c>
      <c r="Y8" s="227">
        <v>6565</v>
      </c>
    </row>
    <row r="9" spans="1:25" ht="19.5" customHeight="1">
      <c r="A9" s="7" t="s">
        <v>3</v>
      </c>
      <c r="B9" s="8"/>
      <c r="C9" s="9"/>
      <c r="D9" s="6">
        <v>278</v>
      </c>
      <c r="E9" s="6">
        <v>415</v>
      </c>
      <c r="F9" s="6">
        <v>203</v>
      </c>
      <c r="G9" s="6">
        <v>889</v>
      </c>
      <c r="H9" s="6">
        <v>511</v>
      </c>
      <c r="I9" s="6">
        <v>589</v>
      </c>
      <c r="J9" s="6">
        <v>470</v>
      </c>
      <c r="K9" s="65">
        <v>663</v>
      </c>
      <c r="L9" s="89">
        <v>340</v>
      </c>
      <c r="M9" s="89">
        <v>500</v>
      </c>
      <c r="N9" s="89">
        <v>600</v>
      </c>
      <c r="O9" s="5">
        <v>560</v>
      </c>
      <c r="P9" s="5">
        <v>490</v>
      </c>
      <c r="Q9" s="5">
        <v>610</v>
      </c>
      <c r="R9" s="6">
        <v>428</v>
      </c>
      <c r="S9" s="5">
        <v>385</v>
      </c>
      <c r="T9" s="227">
        <v>229.36</v>
      </c>
      <c r="U9" s="227">
        <v>470</v>
      </c>
      <c r="V9" s="227">
        <v>761</v>
      </c>
      <c r="W9" s="227">
        <v>423</v>
      </c>
      <c r="X9" s="227">
        <v>528</v>
      </c>
      <c r="Y9" s="227">
        <v>150</v>
      </c>
    </row>
    <row r="10" spans="1:25" ht="19.5" customHeight="1">
      <c r="A10" s="7" t="s">
        <v>4</v>
      </c>
      <c r="B10" s="8"/>
      <c r="C10" s="9"/>
      <c r="D10" s="6"/>
      <c r="E10" s="6">
        <v>40</v>
      </c>
      <c r="F10" s="6">
        <v>6</v>
      </c>
      <c r="G10" s="6">
        <v>13</v>
      </c>
      <c r="H10" s="6">
        <v>10</v>
      </c>
      <c r="I10" s="6"/>
      <c r="J10" s="6"/>
      <c r="K10" s="5"/>
      <c r="L10" s="89"/>
      <c r="M10" s="89"/>
      <c r="N10" s="89"/>
      <c r="O10" s="5"/>
      <c r="P10" s="5"/>
      <c r="Q10" s="5"/>
      <c r="R10" s="6"/>
      <c r="S10" s="5"/>
      <c r="T10" s="227">
        <v>4.64</v>
      </c>
      <c r="U10" s="227"/>
      <c r="V10" s="227"/>
      <c r="W10" s="227"/>
      <c r="X10" s="227">
        <v>15</v>
      </c>
      <c r="Y10" s="227">
        <v>74</v>
      </c>
    </row>
    <row r="11" spans="1:25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/>
      <c r="K11" s="5"/>
      <c r="L11" s="89"/>
      <c r="M11" s="89"/>
      <c r="N11" s="89"/>
      <c r="O11" s="5"/>
      <c r="P11" s="5"/>
      <c r="Q11" s="5"/>
      <c r="R11" s="6"/>
      <c r="S11" s="5"/>
      <c r="T11" s="227"/>
      <c r="U11" s="227"/>
      <c r="V11" s="227"/>
      <c r="W11" s="227"/>
      <c r="X11" s="227"/>
      <c r="Y11" s="227"/>
    </row>
    <row r="12" spans="1:25" ht="19.5" customHeight="1">
      <c r="A12" s="7" t="s">
        <v>5</v>
      </c>
      <c r="B12" s="8"/>
      <c r="C12" s="9"/>
      <c r="D12" s="6">
        <v>1546</v>
      </c>
      <c r="E12" s="6">
        <v>1848</v>
      </c>
      <c r="F12" s="6">
        <v>2484</v>
      </c>
      <c r="G12" s="6">
        <v>2953</v>
      </c>
      <c r="H12" s="6">
        <v>2615</v>
      </c>
      <c r="I12" s="6">
        <v>2736</v>
      </c>
      <c r="J12" s="6">
        <v>4100</v>
      </c>
      <c r="K12" s="65">
        <v>5068</v>
      </c>
      <c r="L12" s="89">
        <v>4700</v>
      </c>
      <c r="M12" s="89">
        <v>2200</v>
      </c>
      <c r="N12" s="89">
        <v>2100</v>
      </c>
      <c r="O12" s="5">
        <v>3100</v>
      </c>
      <c r="P12" s="5">
        <v>4060</v>
      </c>
      <c r="Q12" s="5">
        <v>4000</v>
      </c>
      <c r="R12" s="6">
        <v>4418</v>
      </c>
      <c r="S12" s="5">
        <v>4041</v>
      </c>
      <c r="T12" s="227">
        <v>4519.68</v>
      </c>
      <c r="U12" s="227">
        <v>4851</v>
      </c>
      <c r="V12" s="227">
        <v>4837</v>
      </c>
      <c r="W12" s="227">
        <v>4457</v>
      </c>
      <c r="X12" s="227">
        <v>4565</v>
      </c>
      <c r="Y12" s="227">
        <v>3511</v>
      </c>
    </row>
    <row r="13" spans="1:25" ht="19.5" customHeight="1">
      <c r="A13" s="7" t="s">
        <v>6</v>
      </c>
      <c r="B13" s="8"/>
      <c r="C13" s="9"/>
      <c r="D13" s="6">
        <v>282</v>
      </c>
      <c r="E13" s="6">
        <v>443</v>
      </c>
      <c r="F13" s="6">
        <v>267</v>
      </c>
      <c r="G13" s="6">
        <v>743</v>
      </c>
      <c r="H13" s="6">
        <v>330</v>
      </c>
      <c r="I13" s="6">
        <v>319</v>
      </c>
      <c r="J13" s="6">
        <v>500</v>
      </c>
      <c r="K13" s="65">
        <v>783</v>
      </c>
      <c r="L13" s="89">
        <v>420</v>
      </c>
      <c r="M13" s="89">
        <v>500</v>
      </c>
      <c r="N13" s="89">
        <v>500</v>
      </c>
      <c r="O13" s="5">
        <v>370</v>
      </c>
      <c r="P13" s="5">
        <v>195</v>
      </c>
      <c r="Q13" s="5">
        <v>340</v>
      </c>
      <c r="R13" s="6">
        <v>684</v>
      </c>
      <c r="S13" s="5">
        <v>500</v>
      </c>
      <c r="T13" s="227"/>
      <c r="U13" s="227"/>
      <c r="V13" s="227"/>
      <c r="W13" s="227"/>
      <c r="X13" s="227"/>
      <c r="Y13" s="227"/>
    </row>
    <row r="14" spans="1:25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5"/>
      <c r="L14" s="89"/>
      <c r="M14" s="89"/>
      <c r="N14" s="89"/>
      <c r="O14" s="5"/>
      <c r="P14" s="5"/>
      <c r="Q14" s="5"/>
      <c r="R14" s="6"/>
      <c r="S14" s="5"/>
      <c r="T14" s="227"/>
      <c r="U14" s="227"/>
      <c r="V14" s="227"/>
      <c r="W14" s="227"/>
      <c r="X14" s="227"/>
      <c r="Y14" s="227"/>
    </row>
    <row r="15" spans="1:25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5"/>
      <c r="L15" s="89"/>
      <c r="M15" s="89"/>
      <c r="N15" s="89"/>
      <c r="O15" s="5"/>
      <c r="P15" s="5"/>
      <c r="Q15" s="5"/>
      <c r="R15" s="5"/>
      <c r="S15" s="5"/>
      <c r="T15" s="89"/>
      <c r="U15" s="89"/>
      <c r="V15" s="89"/>
      <c r="W15" s="89"/>
      <c r="X15" s="89"/>
      <c r="Y15" s="89"/>
    </row>
    <row r="16" spans="1:25" ht="19.5" customHeight="1">
      <c r="A16" s="13" t="s">
        <v>9</v>
      </c>
      <c r="B16" s="14"/>
      <c r="C16" s="15"/>
      <c r="D16" s="125">
        <v>18097</v>
      </c>
      <c r="E16" s="125">
        <v>25083</v>
      </c>
      <c r="F16" s="125">
        <v>29917</v>
      </c>
      <c r="G16" s="125">
        <v>31668</v>
      </c>
      <c r="H16" s="125">
        <v>26919</v>
      </c>
      <c r="I16" s="125">
        <v>23163</v>
      </c>
      <c r="J16" s="125">
        <f aca="true" t="shared" si="0" ref="J16:R16">SUM(J6:J15)</f>
        <v>23270</v>
      </c>
      <c r="K16" s="125">
        <f t="shared" si="0"/>
        <v>26264</v>
      </c>
      <c r="L16" s="125">
        <f t="shared" si="0"/>
        <v>28560</v>
      </c>
      <c r="M16" s="125">
        <f t="shared" si="0"/>
        <v>24700</v>
      </c>
      <c r="N16" s="125">
        <f t="shared" si="0"/>
        <v>23000</v>
      </c>
      <c r="O16" s="125">
        <f t="shared" si="0"/>
        <v>23130</v>
      </c>
      <c r="P16" s="125">
        <f t="shared" si="0"/>
        <v>24155</v>
      </c>
      <c r="Q16" s="125">
        <f t="shared" si="0"/>
        <v>20350</v>
      </c>
      <c r="R16" s="125">
        <f t="shared" si="0"/>
        <v>20601</v>
      </c>
      <c r="S16" s="125">
        <f aca="true" t="shared" si="1" ref="S16:X16">SUM(S6:S15)</f>
        <v>23666</v>
      </c>
      <c r="T16" s="125">
        <f t="shared" si="1"/>
        <v>26109.220000000016</v>
      </c>
      <c r="U16" s="125">
        <f t="shared" si="1"/>
        <v>25099</v>
      </c>
      <c r="V16" s="125">
        <f t="shared" si="1"/>
        <v>23834</v>
      </c>
      <c r="W16" s="125">
        <f>SUM(W6:W15)</f>
        <v>22572</v>
      </c>
      <c r="X16" s="125">
        <f>SUM(X6:X15)</f>
        <v>22256</v>
      </c>
      <c r="Y16" s="125">
        <f>SUM(Y6:Y15)</f>
        <v>17676</v>
      </c>
    </row>
    <row r="17" spans="1:25" ht="19.5" customHeight="1">
      <c r="A17" s="7" t="s">
        <v>10</v>
      </c>
      <c r="B17" s="8"/>
      <c r="C17" s="9"/>
      <c r="D17" s="6">
        <v>10</v>
      </c>
      <c r="E17" s="6">
        <v>11</v>
      </c>
      <c r="F17" s="6">
        <v>26</v>
      </c>
      <c r="G17" s="6">
        <v>25</v>
      </c>
      <c r="H17" s="6">
        <v>28</v>
      </c>
      <c r="I17" s="6">
        <v>20</v>
      </c>
      <c r="J17" s="6">
        <v>6</v>
      </c>
      <c r="K17" s="65">
        <v>0</v>
      </c>
      <c r="L17" s="89"/>
      <c r="M17" s="89"/>
      <c r="N17" s="89"/>
      <c r="O17" s="5"/>
      <c r="P17" s="5"/>
      <c r="Q17" s="5"/>
      <c r="R17" s="6"/>
      <c r="S17" s="196"/>
      <c r="T17" s="5"/>
      <c r="U17" s="5"/>
      <c r="V17" s="5"/>
      <c r="W17" s="5"/>
      <c r="X17" s="5"/>
      <c r="Y17" s="5"/>
    </row>
    <row r="18" spans="1:25" ht="19.5" customHeight="1">
      <c r="A18" s="7" t="s">
        <v>11</v>
      </c>
      <c r="B18" s="8"/>
      <c r="C18" s="9"/>
      <c r="D18" s="6">
        <v>5014</v>
      </c>
      <c r="E18" s="6">
        <v>4308</v>
      </c>
      <c r="F18" s="6">
        <v>5262</v>
      </c>
      <c r="G18" s="6">
        <v>5525</v>
      </c>
      <c r="H18" s="6">
        <v>7179</v>
      </c>
      <c r="I18" s="6">
        <v>7678</v>
      </c>
      <c r="J18" s="6">
        <v>7000</v>
      </c>
      <c r="K18" s="65">
        <v>5528</v>
      </c>
      <c r="L18" s="89">
        <v>5250</v>
      </c>
      <c r="M18" s="89">
        <v>7090</v>
      </c>
      <c r="N18" s="89">
        <v>6900</v>
      </c>
      <c r="O18" s="5">
        <v>7144</v>
      </c>
      <c r="P18" s="5">
        <v>6848</v>
      </c>
      <c r="Q18" s="5">
        <v>6614</v>
      </c>
      <c r="R18" s="6">
        <v>6621</v>
      </c>
      <c r="S18" s="196">
        <v>6260</v>
      </c>
      <c r="T18" s="227">
        <v>6148.340000000001</v>
      </c>
      <c r="U18" s="196">
        <v>5937</v>
      </c>
      <c r="V18" s="227">
        <v>6908</v>
      </c>
      <c r="W18" s="227">
        <v>7773</v>
      </c>
      <c r="X18" s="227">
        <v>7964</v>
      </c>
      <c r="Y18" s="227">
        <v>4081</v>
      </c>
    </row>
    <row r="19" spans="1:25" ht="19.5" customHeight="1">
      <c r="A19" s="38" t="s">
        <v>197</v>
      </c>
      <c r="B19" s="8"/>
      <c r="C19" s="9"/>
      <c r="D19" s="6"/>
      <c r="E19" s="6"/>
      <c r="F19" s="6"/>
      <c r="G19" s="6"/>
      <c r="H19" s="6"/>
      <c r="I19" s="6"/>
      <c r="J19" s="6"/>
      <c r="K19" s="5"/>
      <c r="L19" s="89"/>
      <c r="M19" s="89"/>
      <c r="N19" s="89"/>
      <c r="O19" s="5"/>
      <c r="P19" s="5"/>
      <c r="Q19" s="5"/>
      <c r="R19" s="6"/>
      <c r="S19" s="196"/>
      <c r="T19" s="227"/>
      <c r="U19" s="222"/>
      <c r="V19" s="222"/>
      <c r="W19" s="222"/>
      <c r="X19" s="222"/>
      <c r="Y19" s="222"/>
    </row>
    <row r="20" spans="1:25" ht="19.5" customHeight="1">
      <c r="A20" s="7" t="s">
        <v>13</v>
      </c>
      <c r="B20" s="8"/>
      <c r="C20" s="9"/>
      <c r="D20" s="6"/>
      <c r="E20" s="6">
        <v>4</v>
      </c>
      <c r="F20" s="6">
        <v>5</v>
      </c>
      <c r="G20" s="6">
        <v>5</v>
      </c>
      <c r="H20" s="6">
        <v>9</v>
      </c>
      <c r="I20" s="6">
        <v>9</v>
      </c>
      <c r="J20" s="6">
        <v>5</v>
      </c>
      <c r="K20" s="65">
        <v>0</v>
      </c>
      <c r="L20" s="89"/>
      <c r="M20" s="89"/>
      <c r="N20" s="89"/>
      <c r="O20" s="5"/>
      <c r="P20" s="5"/>
      <c r="Q20" s="5"/>
      <c r="R20" s="6"/>
      <c r="S20" s="196"/>
      <c r="T20" s="227"/>
      <c r="U20" s="222"/>
      <c r="V20" s="222"/>
      <c r="W20" s="222"/>
      <c r="X20" s="222"/>
      <c r="Y20" s="222"/>
    </row>
    <row r="21" spans="1:25" ht="19.5" customHeight="1">
      <c r="A21" s="7" t="s">
        <v>14</v>
      </c>
      <c r="B21" s="8"/>
      <c r="C21" s="9"/>
      <c r="D21" s="6"/>
      <c r="E21" s="6"/>
      <c r="F21" s="6"/>
      <c r="G21" s="6"/>
      <c r="H21" s="6"/>
      <c r="I21" s="6"/>
      <c r="J21" s="6"/>
      <c r="K21" s="5"/>
      <c r="L21" s="89"/>
      <c r="M21" s="89"/>
      <c r="N21" s="89"/>
      <c r="O21" s="5"/>
      <c r="P21" s="5"/>
      <c r="Q21" s="5"/>
      <c r="R21" s="6"/>
      <c r="S21" s="196"/>
      <c r="T21" s="227"/>
      <c r="U21" s="222"/>
      <c r="V21" s="222"/>
      <c r="W21" s="222"/>
      <c r="X21" s="222"/>
      <c r="Y21" s="222"/>
    </row>
    <row r="22" spans="1:25" ht="19.5" customHeight="1">
      <c r="A22" s="191" t="s">
        <v>198</v>
      </c>
      <c r="B22" s="8"/>
      <c r="C22" s="9"/>
      <c r="D22" s="6">
        <v>1012</v>
      </c>
      <c r="E22" s="6">
        <v>1331</v>
      </c>
      <c r="F22" s="6">
        <v>1541</v>
      </c>
      <c r="G22" s="6">
        <v>1392</v>
      </c>
      <c r="H22" s="6">
        <v>1649</v>
      </c>
      <c r="I22" s="6">
        <v>1668</v>
      </c>
      <c r="J22" s="6">
        <v>1700</v>
      </c>
      <c r="K22" s="65">
        <v>1600</v>
      </c>
      <c r="L22" s="89">
        <v>1600</v>
      </c>
      <c r="M22" s="89">
        <v>1600</v>
      </c>
      <c r="N22" s="89">
        <v>1580</v>
      </c>
      <c r="O22" s="5">
        <v>1475</v>
      </c>
      <c r="P22" s="5">
        <v>1342</v>
      </c>
      <c r="Q22" s="5">
        <v>1307</v>
      </c>
      <c r="R22" s="6">
        <v>1169</v>
      </c>
      <c r="S22" s="196">
        <v>1105</v>
      </c>
      <c r="T22" s="227">
        <v>1098.02</v>
      </c>
      <c r="U22" s="196">
        <v>1113</v>
      </c>
      <c r="V22" s="227">
        <v>1258</v>
      </c>
      <c r="W22" s="227">
        <v>1569</v>
      </c>
      <c r="X22" s="227">
        <v>1617</v>
      </c>
      <c r="Y22" s="227">
        <v>977</v>
      </c>
    </row>
    <row r="23" spans="1:25" ht="19.5" customHeight="1">
      <c r="A23" s="193" t="s">
        <v>199</v>
      </c>
      <c r="B23" s="8"/>
      <c r="C23" s="9"/>
      <c r="D23" s="6"/>
      <c r="E23" s="6"/>
      <c r="F23" s="6"/>
      <c r="G23" s="6">
        <v>40</v>
      </c>
      <c r="H23" s="6">
        <v>57</v>
      </c>
      <c r="I23" s="6">
        <v>57</v>
      </c>
      <c r="J23" s="6">
        <v>90</v>
      </c>
      <c r="K23" s="65">
        <v>160</v>
      </c>
      <c r="L23" s="89">
        <v>170</v>
      </c>
      <c r="M23" s="89">
        <v>140</v>
      </c>
      <c r="N23" s="89">
        <v>130</v>
      </c>
      <c r="O23" s="5">
        <v>123</v>
      </c>
      <c r="P23" s="5">
        <v>126</v>
      </c>
      <c r="Q23" s="5">
        <v>136</v>
      </c>
      <c r="R23" s="6">
        <v>194</v>
      </c>
      <c r="S23" s="196">
        <v>108</v>
      </c>
      <c r="T23" s="227">
        <v>207.48999999999998</v>
      </c>
      <c r="U23" s="196">
        <v>147</v>
      </c>
      <c r="V23" s="227">
        <v>151</v>
      </c>
      <c r="W23" s="227">
        <v>129</v>
      </c>
      <c r="X23" s="227">
        <v>139</v>
      </c>
      <c r="Y23" s="227">
        <v>65</v>
      </c>
    </row>
    <row r="24" spans="1:25" ht="19.5" customHeight="1">
      <c r="A24" s="7" t="s">
        <v>17</v>
      </c>
      <c r="B24" s="8"/>
      <c r="C24" s="9"/>
      <c r="D24" s="6">
        <v>62</v>
      </c>
      <c r="E24" s="6">
        <v>70</v>
      </c>
      <c r="F24" s="6">
        <v>85</v>
      </c>
      <c r="G24" s="6">
        <v>96</v>
      </c>
      <c r="H24" s="6">
        <v>68</v>
      </c>
      <c r="I24" s="6">
        <v>80</v>
      </c>
      <c r="J24" s="6">
        <v>80</v>
      </c>
      <c r="K24" s="65">
        <v>74</v>
      </c>
      <c r="L24" s="89">
        <v>90</v>
      </c>
      <c r="M24" s="89">
        <v>60</v>
      </c>
      <c r="N24" s="89">
        <v>90</v>
      </c>
      <c r="O24" s="5">
        <v>101</v>
      </c>
      <c r="P24" s="5">
        <v>89</v>
      </c>
      <c r="Q24" s="5">
        <v>72</v>
      </c>
      <c r="R24" s="5">
        <v>52</v>
      </c>
      <c r="S24" s="196">
        <v>19</v>
      </c>
      <c r="T24" s="227">
        <v>84.34999999999998</v>
      </c>
      <c r="U24" s="222"/>
      <c r="V24" s="222"/>
      <c r="W24" s="222">
        <v>128</v>
      </c>
      <c r="X24" s="222">
        <v>113</v>
      </c>
      <c r="Y24" s="222">
        <v>70</v>
      </c>
    </row>
    <row r="25" spans="1:25" ht="19.5" customHeight="1">
      <c r="A25" s="7" t="s">
        <v>40</v>
      </c>
      <c r="B25" s="8"/>
      <c r="C25" s="9"/>
      <c r="D25" s="6"/>
      <c r="E25" s="6"/>
      <c r="F25" s="6">
        <v>28</v>
      </c>
      <c r="G25" s="6">
        <v>7</v>
      </c>
      <c r="H25" s="6">
        <v>7</v>
      </c>
      <c r="I25" s="6">
        <v>7</v>
      </c>
      <c r="J25" s="6">
        <v>7</v>
      </c>
      <c r="K25" s="65">
        <v>0</v>
      </c>
      <c r="L25" s="89"/>
      <c r="M25" s="89"/>
      <c r="N25" s="89"/>
      <c r="O25" s="5"/>
      <c r="P25" s="5"/>
      <c r="Q25" s="5"/>
      <c r="R25" s="235"/>
      <c r="S25" s="196"/>
      <c r="T25" s="227">
        <v>8</v>
      </c>
      <c r="U25" s="222"/>
      <c r="V25" s="222"/>
      <c r="W25" s="222"/>
      <c r="X25" s="222"/>
      <c r="Y25" s="222"/>
    </row>
    <row r="26" spans="1:25" ht="19.5" customHeight="1">
      <c r="A26" s="7" t="s">
        <v>18</v>
      </c>
      <c r="B26" s="8"/>
      <c r="C26" s="9"/>
      <c r="D26" s="6"/>
      <c r="E26" s="6"/>
      <c r="F26" s="6"/>
      <c r="G26" s="6"/>
      <c r="H26" s="6"/>
      <c r="I26" s="6"/>
      <c r="J26" s="6"/>
      <c r="K26" s="5"/>
      <c r="L26" s="89"/>
      <c r="M26" s="89"/>
      <c r="N26" s="89"/>
      <c r="O26" s="5">
        <v>11</v>
      </c>
      <c r="P26" s="5">
        <v>11</v>
      </c>
      <c r="Q26" s="5">
        <v>11</v>
      </c>
      <c r="R26" s="6">
        <v>10</v>
      </c>
      <c r="S26" s="196"/>
      <c r="U26" s="222"/>
      <c r="V26" s="222"/>
      <c r="W26" s="222"/>
      <c r="X26" s="222"/>
      <c r="Y26" s="222"/>
    </row>
    <row r="27" spans="1:25" ht="19.5" customHeight="1">
      <c r="A27" s="7" t="s">
        <v>19</v>
      </c>
      <c r="B27" s="8"/>
      <c r="C27" s="9"/>
      <c r="D27" s="6"/>
      <c r="E27" s="6">
        <v>90</v>
      </c>
      <c r="F27" s="6"/>
      <c r="G27" s="6"/>
      <c r="H27" s="6"/>
      <c r="I27" s="6"/>
      <c r="J27" s="6"/>
      <c r="K27" s="5"/>
      <c r="L27" s="89"/>
      <c r="M27" s="89"/>
      <c r="N27" s="89"/>
      <c r="O27" s="5"/>
      <c r="P27" s="5"/>
      <c r="Q27" s="5"/>
      <c r="R27" s="5"/>
      <c r="S27" s="196"/>
      <c r="T27" s="5"/>
      <c r="U27" s="5"/>
      <c r="V27" s="5"/>
      <c r="W27" s="5"/>
      <c r="X27" s="5"/>
      <c r="Y27" s="5"/>
    </row>
    <row r="28" spans="1:25" ht="19.5" customHeight="1">
      <c r="A28" s="13" t="s">
        <v>20</v>
      </c>
      <c r="B28" s="14"/>
      <c r="C28" s="15"/>
      <c r="D28" s="125">
        <v>6098</v>
      </c>
      <c r="E28" s="125">
        <v>5814</v>
      </c>
      <c r="F28" s="125">
        <v>6947</v>
      </c>
      <c r="G28" s="125">
        <v>7090</v>
      </c>
      <c r="H28" s="125">
        <v>8997</v>
      </c>
      <c r="I28" s="125">
        <v>9519</v>
      </c>
      <c r="J28" s="125">
        <f aca="true" t="shared" si="2" ref="J28:R28">SUM(J17:J27)</f>
        <v>8888</v>
      </c>
      <c r="K28" s="125">
        <f t="shared" si="2"/>
        <v>7362</v>
      </c>
      <c r="L28" s="125">
        <f t="shared" si="2"/>
        <v>7110</v>
      </c>
      <c r="M28" s="125">
        <f t="shared" si="2"/>
        <v>8890</v>
      </c>
      <c r="N28" s="125">
        <f t="shared" si="2"/>
        <v>8700</v>
      </c>
      <c r="O28" s="125">
        <f t="shared" si="2"/>
        <v>8854</v>
      </c>
      <c r="P28" s="125">
        <f t="shared" si="2"/>
        <v>8416</v>
      </c>
      <c r="Q28" s="125">
        <f t="shared" si="2"/>
        <v>8140</v>
      </c>
      <c r="R28" s="125">
        <f t="shared" si="2"/>
        <v>8046</v>
      </c>
      <c r="S28" s="125">
        <f aca="true" t="shared" si="3" ref="S28:X28">SUM(S17:S27)</f>
        <v>7492</v>
      </c>
      <c r="T28" s="125">
        <f t="shared" si="3"/>
        <v>7546.200000000001</v>
      </c>
      <c r="U28" s="125">
        <f t="shared" si="3"/>
        <v>7197</v>
      </c>
      <c r="V28" s="125">
        <f t="shared" si="3"/>
        <v>8317</v>
      </c>
      <c r="W28" s="125">
        <f>SUM(W17:W27)</f>
        <v>9599</v>
      </c>
      <c r="X28" s="125">
        <f>SUM(X17:X27)</f>
        <v>9833</v>
      </c>
      <c r="Y28" s="125">
        <f>SUM(Y17:Y27)</f>
        <v>5193</v>
      </c>
    </row>
    <row r="29" spans="1:25" ht="19.5" customHeight="1">
      <c r="A29" s="7" t="s">
        <v>21</v>
      </c>
      <c r="B29" s="8"/>
      <c r="C29" s="9"/>
      <c r="D29" s="6">
        <v>521</v>
      </c>
      <c r="E29" s="6">
        <v>672</v>
      </c>
      <c r="F29" s="6">
        <v>533</v>
      </c>
      <c r="G29" s="6">
        <v>552</v>
      </c>
      <c r="H29" s="6">
        <v>668</v>
      </c>
      <c r="I29" s="6">
        <v>628</v>
      </c>
      <c r="J29" s="6">
        <v>470</v>
      </c>
      <c r="K29" s="65">
        <v>450</v>
      </c>
      <c r="L29" s="89">
        <v>660</v>
      </c>
      <c r="M29" s="89">
        <v>740</v>
      </c>
      <c r="N29" s="89">
        <v>780</v>
      </c>
      <c r="O29" s="5">
        <v>598</v>
      </c>
      <c r="P29" s="5">
        <v>384</v>
      </c>
      <c r="Q29" s="5">
        <v>400</v>
      </c>
      <c r="R29" s="6">
        <v>463</v>
      </c>
      <c r="S29" s="196">
        <v>493</v>
      </c>
      <c r="T29" s="197">
        <v>584.51</v>
      </c>
      <c r="U29" s="197">
        <v>542</v>
      </c>
      <c r="V29" s="197">
        <v>590</v>
      </c>
      <c r="W29" s="197">
        <v>511</v>
      </c>
      <c r="X29" s="197">
        <v>589</v>
      </c>
      <c r="Y29" s="197">
        <v>271</v>
      </c>
    </row>
    <row r="30" spans="1:25" ht="19.5" customHeight="1">
      <c r="A30" s="10" t="s">
        <v>22</v>
      </c>
      <c r="B30" s="11"/>
      <c r="C30" s="12"/>
      <c r="D30" s="6"/>
      <c r="E30" s="6">
        <v>1</v>
      </c>
      <c r="F30" s="6">
        <v>5</v>
      </c>
      <c r="G30" s="6">
        <v>14</v>
      </c>
      <c r="H30" s="6">
        <v>6</v>
      </c>
      <c r="I30" s="6">
        <v>5</v>
      </c>
      <c r="J30" s="6">
        <v>9</v>
      </c>
      <c r="K30" s="65">
        <v>8</v>
      </c>
      <c r="L30" s="89">
        <v>10</v>
      </c>
      <c r="M30" s="89">
        <v>16</v>
      </c>
      <c r="N30" s="89">
        <v>4</v>
      </c>
      <c r="O30" s="5">
        <v>7</v>
      </c>
      <c r="P30" s="5">
        <v>7</v>
      </c>
      <c r="Q30" s="5"/>
      <c r="R30" s="6"/>
      <c r="S30" s="196"/>
      <c r="T30" s="197">
        <v>8.200000000000001</v>
      </c>
      <c r="U30" s="197"/>
      <c r="V30" s="197"/>
      <c r="W30" s="197"/>
      <c r="X30" s="197">
        <v>27</v>
      </c>
      <c r="Y30" s="197"/>
    </row>
    <row r="31" spans="1:25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/>
      <c r="K31" s="5"/>
      <c r="L31" s="89"/>
      <c r="M31" s="89"/>
      <c r="N31" s="89"/>
      <c r="O31" s="5"/>
      <c r="P31" s="5"/>
      <c r="Q31" s="5"/>
      <c r="R31" s="6"/>
      <c r="S31" s="196"/>
      <c r="T31" s="196"/>
      <c r="U31" s="196"/>
      <c r="V31" s="196"/>
      <c r="W31" s="196"/>
      <c r="X31" s="196"/>
      <c r="Y31" s="196"/>
    </row>
    <row r="32" spans="1:25" ht="19.5" customHeight="1">
      <c r="A32" s="10" t="s">
        <v>24</v>
      </c>
      <c r="B32" s="8"/>
      <c r="C32" s="9"/>
      <c r="D32" s="6"/>
      <c r="E32" s="6"/>
      <c r="F32" s="6"/>
      <c r="G32" s="6"/>
      <c r="H32" s="6"/>
      <c r="I32" s="6"/>
      <c r="J32" s="6"/>
      <c r="K32" s="5"/>
      <c r="L32" s="89"/>
      <c r="M32" s="89"/>
      <c r="N32" s="89"/>
      <c r="O32" s="5"/>
      <c r="P32" s="5"/>
      <c r="Q32" s="5"/>
      <c r="R32" s="6"/>
      <c r="S32" s="196"/>
      <c r="T32" s="196"/>
      <c r="U32" s="196"/>
      <c r="V32" s="196"/>
      <c r="W32" s="196"/>
      <c r="X32" s="196"/>
      <c r="Y32" s="196"/>
    </row>
    <row r="33" spans="1:25" ht="19.5" customHeight="1">
      <c r="A33" s="7" t="s">
        <v>25</v>
      </c>
      <c r="B33" s="8"/>
      <c r="C33" s="9"/>
      <c r="D33" s="6"/>
      <c r="E33" s="6">
        <v>4</v>
      </c>
      <c r="F33" s="6">
        <v>8</v>
      </c>
      <c r="G33" s="6">
        <v>16</v>
      </c>
      <c r="H33" s="6">
        <v>20</v>
      </c>
      <c r="I33" s="6">
        <v>5</v>
      </c>
      <c r="J33" s="6">
        <v>5</v>
      </c>
      <c r="K33" s="65">
        <v>0</v>
      </c>
      <c r="L33" s="89"/>
      <c r="M33" s="89"/>
      <c r="N33" s="89"/>
      <c r="O33" s="5"/>
      <c r="P33" s="5">
        <v>234</v>
      </c>
      <c r="Q33" s="5">
        <v>572</v>
      </c>
      <c r="R33" s="6"/>
      <c r="S33" s="196"/>
      <c r="T33" s="197">
        <v>104.53</v>
      </c>
      <c r="U33" s="197">
        <v>208</v>
      </c>
      <c r="V33" s="197">
        <v>269</v>
      </c>
      <c r="W33" s="197">
        <v>366</v>
      </c>
      <c r="X33" s="197">
        <v>761</v>
      </c>
      <c r="Y33" s="197">
        <v>447</v>
      </c>
    </row>
    <row r="34" spans="1:25" ht="19.5" customHeight="1">
      <c r="A34" s="7" t="s">
        <v>26</v>
      </c>
      <c r="B34" s="8"/>
      <c r="C34" s="9"/>
      <c r="D34" s="6"/>
      <c r="E34" s="6"/>
      <c r="F34" s="6"/>
      <c r="G34" s="6"/>
      <c r="H34" s="6"/>
      <c r="I34" s="6"/>
      <c r="J34" s="6"/>
      <c r="K34" s="5"/>
      <c r="L34" s="89"/>
      <c r="M34" s="89"/>
      <c r="N34" s="89"/>
      <c r="O34" s="5"/>
      <c r="P34" s="5"/>
      <c r="Q34" s="5">
        <v>13</v>
      </c>
      <c r="R34" s="6"/>
      <c r="S34" s="196"/>
      <c r="T34" s="197">
        <v>5.83</v>
      </c>
      <c r="U34" s="197"/>
      <c r="V34" s="197"/>
      <c r="W34" s="197"/>
      <c r="X34" s="197"/>
      <c r="Y34" s="197"/>
    </row>
    <row r="35" spans="1:25" ht="19.5" customHeight="1">
      <c r="A35" s="7" t="s">
        <v>27</v>
      </c>
      <c r="B35" s="8"/>
      <c r="C35" s="9"/>
      <c r="D35" s="6">
        <v>156</v>
      </c>
      <c r="E35" s="6">
        <v>131</v>
      </c>
      <c r="F35" s="6">
        <v>112</v>
      </c>
      <c r="G35" s="6">
        <v>180</v>
      </c>
      <c r="H35" s="6">
        <v>132</v>
      </c>
      <c r="I35" s="6">
        <v>173</v>
      </c>
      <c r="J35" s="6">
        <v>130</v>
      </c>
      <c r="K35" s="65">
        <v>141</v>
      </c>
      <c r="L35" s="89">
        <v>160</v>
      </c>
      <c r="M35" s="89">
        <v>230</v>
      </c>
      <c r="N35" s="89">
        <v>200</v>
      </c>
      <c r="O35" s="5"/>
      <c r="P35" s="5">
        <v>285</v>
      </c>
      <c r="Q35" s="5">
        <v>424</v>
      </c>
      <c r="R35" s="235">
        <v>461</v>
      </c>
      <c r="S35" s="196">
        <v>518</v>
      </c>
      <c r="T35" s="197">
        <v>457.9699999999999</v>
      </c>
      <c r="U35" s="197">
        <v>597</v>
      </c>
      <c r="V35" s="197">
        <v>1037</v>
      </c>
      <c r="W35" s="197">
        <v>957</v>
      </c>
      <c r="X35" s="197">
        <v>647</v>
      </c>
      <c r="Y35" s="197">
        <v>397</v>
      </c>
    </row>
    <row r="36" spans="1:25" ht="19.5" customHeight="1">
      <c r="A36" s="7" t="s">
        <v>28</v>
      </c>
      <c r="B36" s="8"/>
      <c r="C36" s="9"/>
      <c r="D36" s="6"/>
      <c r="E36" s="6">
        <v>1</v>
      </c>
      <c r="F36" s="6">
        <v>15</v>
      </c>
      <c r="G36" s="6">
        <v>15</v>
      </c>
      <c r="H36" s="6"/>
      <c r="I36" s="6"/>
      <c r="J36" s="6"/>
      <c r="K36" s="5"/>
      <c r="L36" s="89"/>
      <c r="M36" s="89"/>
      <c r="N36" s="89"/>
      <c r="O36" s="5">
        <v>6</v>
      </c>
      <c r="P36" s="5"/>
      <c r="Q36" s="5"/>
      <c r="R36" s="5"/>
      <c r="S36" s="196"/>
      <c r="T36" s="5"/>
      <c r="U36" s="5"/>
      <c r="V36" s="5"/>
      <c r="W36" s="5"/>
      <c r="X36" s="5"/>
      <c r="Y36" s="5"/>
    </row>
    <row r="37" spans="1:25" ht="19.5" customHeight="1">
      <c r="A37" s="13" t="s">
        <v>29</v>
      </c>
      <c r="B37" s="14"/>
      <c r="C37" s="15"/>
      <c r="D37" s="153">
        <v>677</v>
      </c>
      <c r="E37" s="153">
        <v>809</v>
      </c>
      <c r="F37" s="153">
        <v>673</v>
      </c>
      <c r="G37" s="153">
        <v>579</v>
      </c>
      <c r="H37" s="153">
        <v>701</v>
      </c>
      <c r="I37" s="153">
        <v>811</v>
      </c>
      <c r="J37" s="125">
        <f aca="true" t="shared" si="4" ref="J37:R37">SUM(J29:J36)</f>
        <v>614</v>
      </c>
      <c r="K37" s="125">
        <f t="shared" si="4"/>
        <v>599</v>
      </c>
      <c r="L37" s="125">
        <f t="shared" si="4"/>
        <v>830</v>
      </c>
      <c r="M37" s="125">
        <f t="shared" si="4"/>
        <v>986</v>
      </c>
      <c r="N37" s="125">
        <f t="shared" si="4"/>
        <v>984</v>
      </c>
      <c r="O37" s="125">
        <f t="shared" si="4"/>
        <v>611</v>
      </c>
      <c r="P37" s="125">
        <f t="shared" si="4"/>
        <v>910</v>
      </c>
      <c r="Q37" s="125">
        <f t="shared" si="4"/>
        <v>1409</v>
      </c>
      <c r="R37" s="125">
        <f t="shared" si="4"/>
        <v>924</v>
      </c>
      <c r="S37" s="125">
        <f aca="true" t="shared" si="5" ref="S37:X37">SUM(S29:S36)</f>
        <v>1011</v>
      </c>
      <c r="T37" s="125">
        <f t="shared" si="5"/>
        <v>1161.04</v>
      </c>
      <c r="U37" s="125">
        <f t="shared" si="5"/>
        <v>1347</v>
      </c>
      <c r="V37" s="125">
        <f t="shared" si="5"/>
        <v>1896</v>
      </c>
      <c r="W37" s="125">
        <f>SUM(W29:W36)</f>
        <v>1834</v>
      </c>
      <c r="X37" s="125">
        <f>SUM(X29:X36)</f>
        <v>2024</v>
      </c>
      <c r="Y37" s="125">
        <f>SUM(Y29:Y36)</f>
        <v>1115</v>
      </c>
    </row>
    <row r="38" spans="1:25" ht="19.5" customHeight="1">
      <c r="A38" s="7" t="s">
        <v>30</v>
      </c>
      <c r="B38" s="8"/>
      <c r="C38" s="9"/>
      <c r="D38" s="5"/>
      <c r="E38" s="5">
        <v>1</v>
      </c>
      <c r="F38" s="5"/>
      <c r="G38" s="5"/>
      <c r="H38" s="5"/>
      <c r="I38" s="5"/>
      <c r="J38" s="5"/>
      <c r="K38" s="5"/>
      <c r="L38" s="89"/>
      <c r="M38" s="89"/>
      <c r="N38" s="89"/>
      <c r="O38" s="5"/>
      <c r="P38" s="5"/>
      <c r="Q38" s="5"/>
      <c r="R38" s="5"/>
      <c r="S38" s="196"/>
      <c r="T38" s="5"/>
      <c r="U38" s="5"/>
      <c r="V38" s="5"/>
      <c r="W38" s="5"/>
      <c r="X38" s="5"/>
      <c r="Y38" s="5"/>
    </row>
    <row r="39" spans="1:25" ht="19.5" customHeight="1">
      <c r="A39" s="7" t="s">
        <v>31</v>
      </c>
      <c r="B39" s="8"/>
      <c r="C39" s="9"/>
      <c r="D39" s="5">
        <v>247</v>
      </c>
      <c r="E39" s="5">
        <v>185</v>
      </c>
      <c r="F39" s="5">
        <v>145</v>
      </c>
      <c r="G39" s="5">
        <v>53</v>
      </c>
      <c r="H39" s="5">
        <v>88</v>
      </c>
      <c r="I39" s="5">
        <v>65</v>
      </c>
      <c r="J39" s="5">
        <v>70</v>
      </c>
      <c r="K39" s="89">
        <v>30</v>
      </c>
      <c r="L39" s="89">
        <v>75</v>
      </c>
      <c r="M39" s="89">
        <v>75</v>
      </c>
      <c r="N39" s="89"/>
      <c r="O39" s="5"/>
      <c r="P39" s="5"/>
      <c r="Q39" s="5">
        <v>38</v>
      </c>
      <c r="R39" s="235">
        <v>40</v>
      </c>
      <c r="S39" s="196"/>
      <c r="T39" s="197">
        <v>9.48</v>
      </c>
      <c r="U39" s="5"/>
      <c r="V39" s="5"/>
      <c r="W39" s="5">
        <v>25</v>
      </c>
      <c r="X39" s="5">
        <v>24</v>
      </c>
      <c r="Y39" s="5"/>
    </row>
    <row r="40" spans="1:25" ht="19.5" customHeight="1">
      <c r="A40" s="45" t="s">
        <v>93</v>
      </c>
      <c r="B40" s="8"/>
      <c r="C40" s="9"/>
      <c r="D40" s="5">
        <v>593</v>
      </c>
      <c r="E40" s="5">
        <v>680</v>
      </c>
      <c r="F40" s="5">
        <v>810</v>
      </c>
      <c r="G40" s="5">
        <v>743</v>
      </c>
      <c r="H40" s="5">
        <v>848</v>
      </c>
      <c r="I40" s="5">
        <v>742</v>
      </c>
      <c r="J40" s="5">
        <v>800</v>
      </c>
      <c r="K40" s="89">
        <v>900</v>
      </c>
      <c r="L40" s="162"/>
      <c r="M40" s="89"/>
      <c r="N40" s="89"/>
      <c r="O40" s="5"/>
      <c r="P40" s="5"/>
      <c r="Q40" s="5"/>
      <c r="R40" s="5"/>
      <c r="S40" s="196"/>
      <c r="T40" s="197"/>
      <c r="U40" s="5"/>
      <c r="V40" s="5"/>
      <c r="W40" s="5"/>
      <c r="X40" s="5"/>
      <c r="Y40" s="5"/>
    </row>
    <row r="41" spans="1:25" ht="19.5" customHeight="1">
      <c r="A41" s="45" t="s">
        <v>92</v>
      </c>
      <c r="B41" s="8"/>
      <c r="C41" s="9"/>
      <c r="D41" s="5"/>
      <c r="E41" s="5"/>
      <c r="F41" s="5"/>
      <c r="G41" s="5"/>
      <c r="H41" s="5"/>
      <c r="I41" s="5"/>
      <c r="J41" s="5"/>
      <c r="K41" s="89">
        <v>911</v>
      </c>
      <c r="L41" s="89">
        <v>1115</v>
      </c>
      <c r="M41" s="89">
        <v>1136</v>
      </c>
      <c r="N41" s="89">
        <v>705</v>
      </c>
      <c r="O41" s="5">
        <v>623</v>
      </c>
      <c r="P41" s="5">
        <v>651</v>
      </c>
      <c r="Q41" s="5">
        <v>1100</v>
      </c>
      <c r="R41" s="5">
        <v>949</v>
      </c>
      <c r="S41" s="196">
        <v>525</v>
      </c>
      <c r="T41" s="197">
        <v>537</v>
      </c>
      <c r="U41" s="5"/>
      <c r="V41" s="5"/>
      <c r="W41" s="5">
        <v>341</v>
      </c>
      <c r="X41" s="5">
        <v>471</v>
      </c>
      <c r="Y41" s="5">
        <v>338</v>
      </c>
    </row>
    <row r="42" spans="1:25" ht="19.5" customHeight="1">
      <c r="A42" s="7" t="s">
        <v>33</v>
      </c>
      <c r="B42" s="8"/>
      <c r="C42" s="9"/>
      <c r="D42" s="5"/>
      <c r="E42" s="5"/>
      <c r="F42" s="5"/>
      <c r="G42" s="5"/>
      <c r="H42" s="5"/>
      <c r="I42" s="5"/>
      <c r="J42" s="5"/>
      <c r="K42" s="5"/>
      <c r="L42" s="89"/>
      <c r="M42" s="89"/>
      <c r="N42" s="89"/>
      <c r="O42" s="5"/>
      <c r="P42" s="5"/>
      <c r="Q42" s="5"/>
      <c r="R42" s="5"/>
      <c r="S42" s="196"/>
      <c r="T42" s="197"/>
      <c r="U42" s="5"/>
      <c r="V42" s="5"/>
      <c r="W42" s="5"/>
      <c r="X42" s="5"/>
      <c r="Y42" s="5"/>
    </row>
    <row r="43" spans="1:25" ht="19.5" customHeight="1">
      <c r="A43" s="7" t="s">
        <v>34</v>
      </c>
      <c r="B43" s="8"/>
      <c r="C43" s="9"/>
      <c r="D43" s="6">
        <v>1278</v>
      </c>
      <c r="E43" s="6">
        <v>1320</v>
      </c>
      <c r="F43" s="6">
        <v>1506</v>
      </c>
      <c r="G43" s="6">
        <v>1654</v>
      </c>
      <c r="H43" s="6">
        <v>1581</v>
      </c>
      <c r="I43" s="6">
        <v>1557</v>
      </c>
      <c r="J43" s="6">
        <v>1400</v>
      </c>
      <c r="K43" s="65">
        <v>1359</v>
      </c>
      <c r="L43" s="89">
        <v>1350</v>
      </c>
      <c r="M43" s="89">
        <v>1341</v>
      </c>
      <c r="N43" s="89">
        <v>1276</v>
      </c>
      <c r="O43" s="5">
        <v>1279</v>
      </c>
      <c r="P43" s="5">
        <v>1228</v>
      </c>
      <c r="Q43" s="5">
        <v>1220</v>
      </c>
      <c r="R43" s="5">
        <v>1143</v>
      </c>
      <c r="S43" s="196">
        <v>1133</v>
      </c>
      <c r="T43" s="197">
        <v>1109.4502699999996</v>
      </c>
      <c r="U43" s="5"/>
      <c r="V43" s="5"/>
      <c r="W43" s="5">
        <v>1031</v>
      </c>
      <c r="X43" s="5">
        <v>1102</v>
      </c>
      <c r="Y43" s="5">
        <v>1066</v>
      </c>
    </row>
    <row r="44" spans="1:25" ht="19.5" customHeight="1">
      <c r="A44" s="7" t="s">
        <v>35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89"/>
      <c r="M44" s="89"/>
      <c r="N44" s="89"/>
      <c r="O44" s="5"/>
      <c r="P44" s="5"/>
      <c r="Q44" s="5"/>
      <c r="R44" s="5"/>
      <c r="S44" s="196"/>
      <c r="T44" s="5"/>
      <c r="U44" s="5"/>
      <c r="V44" s="5"/>
      <c r="W44" s="5"/>
      <c r="X44" s="5"/>
      <c r="Y44" s="5"/>
    </row>
    <row r="45" spans="1:25" ht="19.5" customHeight="1">
      <c r="A45" s="7" t="s">
        <v>36</v>
      </c>
      <c r="B45" s="8"/>
      <c r="C45" s="9"/>
      <c r="D45" s="5"/>
      <c r="E45" s="5"/>
      <c r="F45" s="5"/>
      <c r="G45" s="5"/>
      <c r="H45" s="5"/>
      <c r="I45" s="5"/>
      <c r="J45" s="5"/>
      <c r="K45" s="5"/>
      <c r="L45" s="89"/>
      <c r="M45" s="89"/>
      <c r="N45" s="89"/>
      <c r="O45" s="5"/>
      <c r="P45" s="5"/>
      <c r="Q45" s="5"/>
      <c r="R45" s="5"/>
      <c r="S45" s="196"/>
      <c r="T45" s="5"/>
      <c r="U45" s="5"/>
      <c r="V45" s="5"/>
      <c r="W45" s="5"/>
      <c r="X45" s="5"/>
      <c r="Y45" s="5"/>
    </row>
    <row r="46" spans="1:25" ht="19.5" customHeight="1">
      <c r="A46" s="7" t="s">
        <v>37</v>
      </c>
      <c r="B46" s="8"/>
      <c r="C46" s="9"/>
      <c r="D46" s="5"/>
      <c r="E46" s="5"/>
      <c r="F46" s="5"/>
      <c r="G46" s="5"/>
      <c r="H46" s="5"/>
      <c r="I46" s="6"/>
      <c r="J46" s="6"/>
      <c r="K46" s="5"/>
      <c r="L46" s="89"/>
      <c r="M46" s="89"/>
      <c r="N46" s="89"/>
      <c r="O46" s="5"/>
      <c r="P46" s="5"/>
      <c r="Q46" s="5"/>
      <c r="R46" s="5"/>
      <c r="S46" s="196"/>
      <c r="T46" s="5"/>
      <c r="U46" s="5"/>
      <c r="V46" s="5"/>
      <c r="W46" s="5"/>
      <c r="X46" s="5"/>
      <c r="Y46" s="5"/>
    </row>
    <row r="47" spans="1:25" ht="19.5" customHeight="1">
      <c r="A47" s="13" t="s">
        <v>38</v>
      </c>
      <c r="B47" s="14"/>
      <c r="C47" s="15"/>
      <c r="D47" s="125">
        <v>27129</v>
      </c>
      <c r="E47" s="125">
        <v>33820</v>
      </c>
      <c r="F47" s="125">
        <v>40165</v>
      </c>
      <c r="G47" s="125">
        <v>42220</v>
      </c>
      <c r="H47" s="125">
        <v>36690</v>
      </c>
      <c r="I47" s="125">
        <v>35857</v>
      </c>
      <c r="J47" s="125">
        <f>J16+J28+J37+J39+J40+J43</f>
        <v>35042</v>
      </c>
      <c r="K47" s="125">
        <f>K16+K28+K37+K39+K40+K43</f>
        <v>36514</v>
      </c>
      <c r="L47" s="125">
        <f aca="true" t="shared" si="6" ref="L47:S47">L16+L28+L37+L39+L41+L43</f>
        <v>39040</v>
      </c>
      <c r="M47" s="125">
        <f t="shared" si="6"/>
        <v>37128</v>
      </c>
      <c r="N47" s="125">
        <f t="shared" si="6"/>
        <v>34665</v>
      </c>
      <c r="O47" s="125">
        <f t="shared" si="6"/>
        <v>34497</v>
      </c>
      <c r="P47" s="125">
        <f t="shared" si="6"/>
        <v>35360</v>
      </c>
      <c r="Q47" s="125">
        <f t="shared" si="6"/>
        <v>32257</v>
      </c>
      <c r="R47" s="125">
        <f t="shared" si="6"/>
        <v>31703</v>
      </c>
      <c r="S47" s="125">
        <f t="shared" si="6"/>
        <v>33827</v>
      </c>
      <c r="T47" s="125">
        <f>T16+T28+T37+T39+T41+T43</f>
        <v>36472.39027000002</v>
      </c>
      <c r="U47" s="125">
        <f>U16+U28+U37+U39+U41+U43</f>
        <v>33643</v>
      </c>
      <c r="V47" s="125">
        <f>V16+V28+V37+V39+V41+V43</f>
        <v>34047</v>
      </c>
      <c r="W47" s="125">
        <f>W16+W28+W37+W39+W41+W43</f>
        <v>35402</v>
      </c>
      <c r="X47" s="125">
        <f>X16+X28+X37+X39+X41+X43</f>
        <v>35710</v>
      </c>
      <c r="Y47" s="125">
        <f>Y16+Y28+Y37+Y39+Y41+Y43</f>
        <v>25388</v>
      </c>
    </row>
    <row r="48" ht="12.75">
      <c r="Q48" t="s">
        <v>39</v>
      </c>
    </row>
    <row r="49" ht="12.75">
      <c r="I49" s="33"/>
    </row>
  </sheetData>
  <sheetProtection/>
  <mergeCells count="1">
    <mergeCell ref="A3:I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FF98F"/>
    <pageSetUpPr fitToPage="1"/>
  </sheetPr>
  <dimension ref="A1:AK47"/>
  <sheetViews>
    <sheetView zoomScale="95" zoomScaleNormal="95" zoomScalePageLayoutView="0" workbookViewId="0" topLeftCell="A1">
      <pane xSplit="3" topLeftCell="J1" activePane="topRight" state="frozen"/>
      <selection pane="topLeft" activeCell="U25" sqref="U25"/>
      <selection pane="topRight" activeCell="Z42" sqref="Z42"/>
    </sheetView>
  </sheetViews>
  <sheetFormatPr defaultColWidth="11.421875" defaultRowHeight="12.75"/>
  <cols>
    <col min="3" max="3" width="5.140625" style="0" customWidth="1"/>
    <col min="4" max="9" width="11.421875" style="0" hidden="1" customWidth="1"/>
    <col min="13" max="15" width="0" style="0" hidden="1" customWidth="1"/>
    <col min="19" max="24" width="11.421875" style="240" customWidth="1"/>
  </cols>
  <sheetData>
    <row r="1" spans="1:9" ht="16.5" customHeight="1">
      <c r="A1" s="4" t="s">
        <v>85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72" t="s">
        <v>41</v>
      </c>
      <c r="B2" s="372"/>
      <c r="C2" s="372"/>
      <c r="D2" s="372"/>
      <c r="E2" s="372"/>
      <c r="F2" s="372"/>
      <c r="G2" s="372"/>
      <c r="H2" s="372"/>
      <c r="I2" s="372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37" s="24" customFormat="1" ht="19.5" customHeight="1">
      <c r="A5" s="23" t="s">
        <v>0</v>
      </c>
      <c r="B5" s="2"/>
      <c r="C5" s="3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12">
        <v>2002</v>
      </c>
      <c r="J5" s="112">
        <v>2003</v>
      </c>
      <c r="K5" s="112">
        <v>2004</v>
      </c>
      <c r="L5" s="112">
        <v>2005</v>
      </c>
      <c r="M5" s="112">
        <v>2006</v>
      </c>
      <c r="N5" s="112">
        <v>2007</v>
      </c>
      <c r="O5" s="112">
        <v>2008</v>
      </c>
      <c r="P5" s="112">
        <v>2009</v>
      </c>
      <c r="Q5" s="112">
        <v>2010</v>
      </c>
      <c r="R5" s="112">
        <v>2011</v>
      </c>
      <c r="S5" s="112">
        <v>2012</v>
      </c>
      <c r="T5" s="112">
        <v>2013</v>
      </c>
      <c r="U5" s="299">
        <v>2014</v>
      </c>
      <c r="V5" s="112">
        <v>2015</v>
      </c>
      <c r="W5" s="112">
        <v>2016</v>
      </c>
      <c r="X5" s="112">
        <v>2017</v>
      </c>
      <c r="Y5" s="112">
        <v>2018</v>
      </c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25" ht="19.5" customHeight="1">
      <c r="A6" s="7" t="s">
        <v>1</v>
      </c>
      <c r="B6" s="8"/>
      <c r="C6" s="9"/>
      <c r="D6" s="6">
        <v>19991</v>
      </c>
      <c r="E6" s="6">
        <v>19737</v>
      </c>
      <c r="F6" s="6">
        <v>25021</v>
      </c>
      <c r="G6" s="6">
        <v>20716</v>
      </c>
      <c r="H6" s="6">
        <v>19491</v>
      </c>
      <c r="I6" s="6">
        <f>20669+84.5+132.5+50.8+140.2</f>
        <v>21077</v>
      </c>
      <c r="J6" s="6">
        <f>16717.6+92.6+76.3+393.6+105.2+52.7</f>
        <v>17437.999999999996</v>
      </c>
      <c r="K6" s="6">
        <v>17325</v>
      </c>
      <c r="L6" s="6">
        <v>20085</v>
      </c>
      <c r="M6" s="5">
        <v>15275</v>
      </c>
      <c r="N6" s="5">
        <v>12667</v>
      </c>
      <c r="O6" s="5">
        <v>13950</v>
      </c>
      <c r="P6" s="5">
        <v>13778</v>
      </c>
      <c r="Q6" s="5">
        <v>12803</v>
      </c>
      <c r="R6" s="211">
        <v>14571</v>
      </c>
      <c r="S6" s="241">
        <v>17487</v>
      </c>
      <c r="T6" s="241">
        <v>17093</v>
      </c>
      <c r="U6" s="324">
        <v>13860</v>
      </c>
      <c r="V6" s="324">
        <v>13414</v>
      </c>
      <c r="W6" s="324">
        <v>12884</v>
      </c>
      <c r="X6" s="327">
        <v>12716</v>
      </c>
      <c r="Y6" s="327"/>
    </row>
    <row r="7" spans="1:25" ht="19.5" customHeight="1">
      <c r="A7" s="7" t="s">
        <v>2</v>
      </c>
      <c r="B7" s="8"/>
      <c r="C7" s="9"/>
      <c r="D7" s="6">
        <v>248</v>
      </c>
      <c r="E7" s="6">
        <v>520</v>
      </c>
      <c r="F7" s="6">
        <v>381</v>
      </c>
      <c r="G7" s="6">
        <v>376</v>
      </c>
      <c r="H7" s="6">
        <v>220</v>
      </c>
      <c r="I7" s="6">
        <v>205</v>
      </c>
      <c r="J7" s="6">
        <v>133.1</v>
      </c>
      <c r="K7" s="6">
        <v>130</v>
      </c>
      <c r="L7" s="5">
        <v>173</v>
      </c>
      <c r="M7" s="5">
        <v>174</v>
      </c>
      <c r="N7" s="5">
        <v>291</v>
      </c>
      <c r="O7" s="5">
        <v>356</v>
      </c>
      <c r="P7" s="5">
        <v>702</v>
      </c>
      <c r="Q7" s="5">
        <v>443</v>
      </c>
      <c r="R7" s="211">
        <v>675</v>
      </c>
      <c r="S7" s="241">
        <v>613</v>
      </c>
      <c r="T7" s="241">
        <v>605</v>
      </c>
      <c r="U7" s="324">
        <v>550</v>
      </c>
      <c r="V7" s="324">
        <v>453</v>
      </c>
      <c r="W7" s="324">
        <v>698</v>
      </c>
      <c r="X7" s="327">
        <v>519.9</v>
      </c>
      <c r="Y7" s="327"/>
    </row>
    <row r="8" spans="1:25" ht="19.5" customHeight="1">
      <c r="A8" s="7" t="s">
        <v>42</v>
      </c>
      <c r="B8" s="8"/>
      <c r="C8" s="9"/>
      <c r="D8" s="6">
        <v>13974</v>
      </c>
      <c r="E8" s="6">
        <v>14000</v>
      </c>
      <c r="F8" s="6">
        <v>17344</v>
      </c>
      <c r="G8" s="6">
        <v>14973</v>
      </c>
      <c r="H8" s="6">
        <v>14493</v>
      </c>
      <c r="I8" s="6">
        <f>14680+22.8+78.6+364.4+513.5+35.7+4</f>
        <v>15699</v>
      </c>
      <c r="J8" s="6">
        <f>349.9+13665.2+27.7+211.2+440.2+446.4</f>
        <v>15140.600000000002</v>
      </c>
      <c r="K8" s="6">
        <v>10062</v>
      </c>
      <c r="L8" s="6">
        <v>9111</v>
      </c>
      <c r="M8" s="5">
        <v>8107</v>
      </c>
      <c r="N8" s="5">
        <v>9331</v>
      </c>
      <c r="O8" s="5">
        <v>8373</v>
      </c>
      <c r="P8" s="5">
        <v>8315</v>
      </c>
      <c r="Q8" s="5">
        <v>7751</v>
      </c>
      <c r="R8" s="211">
        <v>7696</v>
      </c>
      <c r="S8" s="241">
        <v>9867</v>
      </c>
      <c r="T8" s="241">
        <v>9976</v>
      </c>
      <c r="U8" s="324">
        <v>7167</v>
      </c>
      <c r="V8" s="324">
        <v>7242</v>
      </c>
      <c r="W8" s="324">
        <v>7209</v>
      </c>
      <c r="X8" s="327">
        <v>6649</v>
      </c>
      <c r="Y8" s="327"/>
    </row>
    <row r="9" spans="1:25" ht="19.5" customHeight="1">
      <c r="A9" s="7" t="s">
        <v>3</v>
      </c>
      <c r="B9" s="8"/>
      <c r="C9" s="9"/>
      <c r="D9" s="6">
        <v>1582</v>
      </c>
      <c r="E9" s="6">
        <v>1344</v>
      </c>
      <c r="F9" s="6">
        <v>1388</v>
      </c>
      <c r="G9" s="6">
        <v>1687</v>
      </c>
      <c r="H9" s="6">
        <v>1633</v>
      </c>
      <c r="I9" s="6">
        <f>1500+112.2+77.5</f>
        <v>1689.7</v>
      </c>
      <c r="J9" s="6">
        <f>1472.8+270.1+4.5+27.1</f>
        <v>1774.5</v>
      </c>
      <c r="K9" s="6">
        <v>1334</v>
      </c>
      <c r="L9" s="6">
        <v>1069</v>
      </c>
      <c r="M9" s="5">
        <v>941</v>
      </c>
      <c r="N9" s="5">
        <v>1372</v>
      </c>
      <c r="O9" s="5">
        <v>1247</v>
      </c>
      <c r="P9" s="5">
        <v>1450</v>
      </c>
      <c r="Q9" s="5">
        <v>859</v>
      </c>
      <c r="R9" s="211">
        <v>770</v>
      </c>
      <c r="S9" s="241">
        <v>688</v>
      </c>
      <c r="T9" s="241">
        <v>439</v>
      </c>
      <c r="U9" s="324">
        <v>462</v>
      </c>
      <c r="V9" s="324">
        <v>262</v>
      </c>
      <c r="W9" s="324">
        <v>132</v>
      </c>
      <c r="X9" s="327">
        <v>202.7</v>
      </c>
      <c r="Y9" s="327"/>
    </row>
    <row r="10" spans="1:25" ht="19.5" customHeight="1">
      <c r="A10" s="7" t="s">
        <v>4</v>
      </c>
      <c r="B10" s="8"/>
      <c r="C10" s="9"/>
      <c r="D10" s="6">
        <v>3155</v>
      </c>
      <c r="E10" s="6">
        <v>3141</v>
      </c>
      <c r="F10" s="6">
        <v>2328</v>
      </c>
      <c r="G10" s="6">
        <v>2574</v>
      </c>
      <c r="H10" s="6">
        <v>2629</v>
      </c>
      <c r="I10" s="6">
        <f>2134+150+23.8+30.6</f>
        <v>2338.4</v>
      </c>
      <c r="J10" s="6">
        <f>2469.7+146.3+129.5+45.2</f>
        <v>2790.7</v>
      </c>
      <c r="K10" s="6">
        <v>2430</v>
      </c>
      <c r="L10" s="6">
        <v>2915</v>
      </c>
      <c r="M10" s="5">
        <v>2563</v>
      </c>
      <c r="N10" s="5">
        <v>2867</v>
      </c>
      <c r="O10" s="5">
        <v>2538</v>
      </c>
      <c r="P10" s="5">
        <v>2610</v>
      </c>
      <c r="Q10" s="5">
        <v>1943</v>
      </c>
      <c r="R10" s="211">
        <v>1780</v>
      </c>
      <c r="S10" s="241">
        <v>1939</v>
      </c>
      <c r="T10" s="241">
        <v>1886</v>
      </c>
      <c r="U10" s="324">
        <v>2387</v>
      </c>
      <c r="V10" s="324">
        <v>1940</v>
      </c>
      <c r="W10" s="324">
        <v>1412</v>
      </c>
      <c r="X10" s="327">
        <v>1143.7</v>
      </c>
      <c r="Y10" s="327"/>
    </row>
    <row r="11" spans="1:25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>
        <v>8</v>
      </c>
      <c r="K11" s="6">
        <v>31</v>
      </c>
      <c r="L11" s="5">
        <v>120</v>
      </c>
      <c r="M11" s="5">
        <v>64</v>
      </c>
      <c r="N11" s="5">
        <v>119</v>
      </c>
      <c r="O11" s="5">
        <v>51</v>
      </c>
      <c r="P11" s="5">
        <v>15</v>
      </c>
      <c r="Q11" s="5">
        <v>7</v>
      </c>
      <c r="R11" s="211">
        <v>36</v>
      </c>
      <c r="S11" s="241">
        <v>20</v>
      </c>
      <c r="T11" s="241">
        <v>1</v>
      </c>
      <c r="U11" s="324"/>
      <c r="V11" s="324">
        <v>79</v>
      </c>
      <c r="W11" s="324">
        <v>187</v>
      </c>
      <c r="X11" s="327">
        <v>257.3</v>
      </c>
      <c r="Y11" s="327"/>
    </row>
    <row r="12" spans="1:25" ht="19.5" customHeight="1">
      <c r="A12" s="7" t="s">
        <v>5</v>
      </c>
      <c r="B12" s="8"/>
      <c r="C12" s="9"/>
      <c r="D12" s="6">
        <v>2579</v>
      </c>
      <c r="E12" s="6">
        <v>2676</v>
      </c>
      <c r="F12" s="6">
        <v>4441</v>
      </c>
      <c r="G12" s="6"/>
      <c r="H12" s="6"/>
      <c r="I12" s="6">
        <f>3986+604.3+17.6</f>
        <v>4607.900000000001</v>
      </c>
      <c r="J12" s="6">
        <f>3661.7+751+6.4</f>
        <v>4419.099999999999</v>
      </c>
      <c r="K12" s="6">
        <v>3332</v>
      </c>
      <c r="L12" s="6">
        <v>3847</v>
      </c>
      <c r="M12" s="5">
        <v>2929</v>
      </c>
      <c r="N12" s="5">
        <v>2424</v>
      </c>
      <c r="O12" s="5">
        <v>2352</v>
      </c>
      <c r="P12" s="5">
        <v>2505</v>
      </c>
      <c r="Q12" s="5">
        <v>3197</v>
      </c>
      <c r="R12" s="211">
        <v>3144</v>
      </c>
      <c r="S12" s="241">
        <v>4669</v>
      </c>
      <c r="T12" s="241">
        <v>5347</v>
      </c>
      <c r="U12" s="324">
        <v>3346</v>
      </c>
      <c r="V12" s="324">
        <v>2589</v>
      </c>
      <c r="W12" s="324">
        <v>2951</v>
      </c>
      <c r="X12" s="327">
        <v>3433.9</v>
      </c>
      <c r="Y12" s="327"/>
    </row>
    <row r="13" spans="1:25" ht="19.5" customHeight="1">
      <c r="A13" s="7" t="s">
        <v>6</v>
      </c>
      <c r="B13" s="8"/>
      <c r="C13" s="9"/>
      <c r="D13" s="6">
        <v>12688</v>
      </c>
      <c r="E13" s="6">
        <v>14577</v>
      </c>
      <c r="F13" s="6">
        <v>14184</v>
      </c>
      <c r="G13" s="6">
        <v>18031</v>
      </c>
      <c r="H13" s="6">
        <v>16711</v>
      </c>
      <c r="I13" s="6">
        <f>15497+47+38.9+527.7</f>
        <v>16110.6</v>
      </c>
      <c r="J13" s="6">
        <f>15791.3+35.5+912.7</f>
        <v>16739.5</v>
      </c>
      <c r="K13" s="6">
        <v>15973</v>
      </c>
      <c r="L13" s="6">
        <v>16033</v>
      </c>
      <c r="M13" s="5">
        <v>14234</v>
      </c>
      <c r="N13" s="5">
        <v>12615</v>
      </c>
      <c r="O13" s="5">
        <v>12026</v>
      </c>
      <c r="P13" s="5">
        <v>12630</v>
      </c>
      <c r="Q13" s="5">
        <v>10827</v>
      </c>
      <c r="R13" s="211">
        <v>12701</v>
      </c>
      <c r="S13" s="241">
        <v>12775</v>
      </c>
      <c r="T13" s="241">
        <v>10759</v>
      </c>
      <c r="U13" s="324">
        <v>15056</v>
      </c>
      <c r="V13" s="324">
        <v>13707</v>
      </c>
      <c r="W13" s="324">
        <v>14106</v>
      </c>
      <c r="X13" s="327">
        <v>12883.4</v>
      </c>
      <c r="Y13" s="327"/>
    </row>
    <row r="14" spans="1:25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6"/>
      <c r="L14" s="5"/>
      <c r="M14" s="5"/>
      <c r="N14" s="5"/>
      <c r="O14" s="5"/>
      <c r="P14" s="5"/>
      <c r="Q14" s="5"/>
      <c r="R14" s="211"/>
      <c r="S14" s="241"/>
      <c r="T14" s="241"/>
      <c r="U14" s="324"/>
      <c r="V14" s="324"/>
      <c r="W14" s="324"/>
      <c r="X14" s="324"/>
      <c r="Y14" s="324"/>
    </row>
    <row r="15" spans="1:25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211"/>
      <c r="S15" s="241"/>
      <c r="T15" s="241"/>
      <c r="U15" s="324"/>
      <c r="V15" s="324"/>
      <c r="W15" s="324"/>
      <c r="X15" s="324"/>
      <c r="Y15" s="324"/>
    </row>
    <row r="16" spans="1:25" ht="19.5" customHeight="1">
      <c r="A16" s="13" t="s">
        <v>9</v>
      </c>
      <c r="B16" s="14"/>
      <c r="C16" s="15"/>
      <c r="D16" s="125">
        <f>SUM(D6:D15)</f>
        <v>54217</v>
      </c>
      <c r="E16" s="125">
        <f>SUM(E6:E15)</f>
        <v>55995</v>
      </c>
      <c r="F16" s="125">
        <f>SUM(F6:F15)</f>
        <v>65087</v>
      </c>
      <c r="G16" s="125">
        <f aca="true" t="shared" si="0" ref="G16:M16">SUM(G6:G15)</f>
        <v>58357</v>
      </c>
      <c r="H16" s="125">
        <f t="shared" si="0"/>
        <v>55177</v>
      </c>
      <c r="I16" s="125">
        <f t="shared" si="0"/>
        <v>61727.6</v>
      </c>
      <c r="J16" s="125">
        <f t="shared" si="0"/>
        <v>58443.49999999999</v>
      </c>
      <c r="K16" s="125">
        <f t="shared" si="0"/>
        <v>50617</v>
      </c>
      <c r="L16" s="125">
        <f t="shared" si="0"/>
        <v>53353</v>
      </c>
      <c r="M16" s="125">
        <f t="shared" si="0"/>
        <v>44287</v>
      </c>
      <c r="N16" s="125">
        <f aca="true" t="shared" si="1" ref="N16:T16">SUM(N6:N15)</f>
        <v>41686</v>
      </c>
      <c r="O16" s="125">
        <f t="shared" si="1"/>
        <v>40893</v>
      </c>
      <c r="P16" s="125">
        <f t="shared" si="1"/>
        <v>42005</v>
      </c>
      <c r="Q16" s="125">
        <f t="shared" si="1"/>
        <v>37830</v>
      </c>
      <c r="R16" s="125">
        <f t="shared" si="1"/>
        <v>41373</v>
      </c>
      <c r="S16" s="125">
        <f t="shared" si="1"/>
        <v>48058</v>
      </c>
      <c r="T16" s="125">
        <f t="shared" si="1"/>
        <v>46106</v>
      </c>
      <c r="U16" s="311">
        <f>SUM(U6:U15)</f>
        <v>42828</v>
      </c>
      <c r="V16" s="311">
        <f>SUM(V6:V15)</f>
        <v>39686</v>
      </c>
      <c r="W16" s="311">
        <f>SUM(W6:W15)</f>
        <v>39579</v>
      </c>
      <c r="X16" s="360">
        <f>SUM(X6:X15)</f>
        <v>37805.9</v>
      </c>
      <c r="Y16" s="360">
        <f>SUM(Y6:Y15)</f>
        <v>0</v>
      </c>
    </row>
    <row r="17" spans="1:25" ht="19.5" customHeight="1">
      <c r="A17" s="7" t="s">
        <v>10</v>
      </c>
      <c r="B17" s="8"/>
      <c r="C17" s="9"/>
      <c r="D17" s="6">
        <v>110</v>
      </c>
      <c r="E17" s="6">
        <v>140</v>
      </c>
      <c r="F17" s="6">
        <v>113</v>
      </c>
      <c r="G17" s="6">
        <v>117</v>
      </c>
      <c r="H17" s="6">
        <v>87</v>
      </c>
      <c r="I17" s="6">
        <v>118</v>
      </c>
      <c r="J17" s="6">
        <v>116</v>
      </c>
      <c r="K17" s="6">
        <v>118</v>
      </c>
      <c r="L17" s="5">
        <v>104</v>
      </c>
      <c r="M17" s="65">
        <v>57</v>
      </c>
      <c r="N17" s="5">
        <v>35</v>
      </c>
      <c r="O17" s="5">
        <v>131</v>
      </c>
      <c r="P17" s="5">
        <v>166</v>
      </c>
      <c r="Q17" s="5">
        <v>183</v>
      </c>
      <c r="R17" s="212">
        <v>118</v>
      </c>
      <c r="S17" s="241">
        <v>148</v>
      </c>
      <c r="T17" s="241">
        <v>159</v>
      </c>
      <c r="U17" s="324">
        <v>135</v>
      </c>
      <c r="V17" s="325">
        <v>127</v>
      </c>
      <c r="W17" s="333">
        <v>235.8</v>
      </c>
      <c r="X17" s="333">
        <v>333.4</v>
      </c>
      <c r="Y17" s="325">
        <v>459</v>
      </c>
    </row>
    <row r="18" spans="1:25" ht="19.5" customHeight="1">
      <c r="A18" s="7" t="s">
        <v>11</v>
      </c>
      <c r="B18" s="8"/>
      <c r="C18" s="9"/>
      <c r="D18" s="6">
        <v>3440</v>
      </c>
      <c r="E18" s="6">
        <v>3584</v>
      </c>
      <c r="F18" s="6">
        <v>3197</v>
      </c>
      <c r="G18" s="6">
        <v>3334</v>
      </c>
      <c r="H18" s="6">
        <v>3972</v>
      </c>
      <c r="I18" s="6">
        <v>4435</v>
      </c>
      <c r="J18" s="6">
        <f>4314+200.1+63.7+18</f>
        <v>4595.8</v>
      </c>
      <c r="K18" s="6">
        <v>4675</v>
      </c>
      <c r="L18" s="6">
        <v>4167</v>
      </c>
      <c r="M18" s="65">
        <v>4881</v>
      </c>
      <c r="N18" s="5">
        <v>3922</v>
      </c>
      <c r="O18" s="5">
        <v>4045</v>
      </c>
      <c r="P18" s="5">
        <v>3752</v>
      </c>
      <c r="Q18" s="5">
        <v>4028</v>
      </c>
      <c r="R18" s="212">
        <v>4240</v>
      </c>
      <c r="S18" s="241">
        <v>3970</v>
      </c>
      <c r="T18" s="241">
        <v>3981</v>
      </c>
      <c r="U18" s="324">
        <v>4660</v>
      </c>
      <c r="V18" s="325">
        <v>4805</v>
      </c>
      <c r="W18" s="333">
        <v>5290.8</v>
      </c>
      <c r="X18" s="333">
        <v>4478.5</v>
      </c>
      <c r="Y18" s="325">
        <v>4308</v>
      </c>
    </row>
    <row r="19" spans="1:25" ht="19.5" customHeight="1">
      <c r="A19" s="38" t="s">
        <v>197</v>
      </c>
      <c r="B19" s="8"/>
      <c r="C19" s="9"/>
      <c r="D19" s="6">
        <v>334</v>
      </c>
      <c r="E19" s="6">
        <v>302</v>
      </c>
      <c r="F19" s="6">
        <v>248</v>
      </c>
      <c r="G19" s="6">
        <v>251</v>
      </c>
      <c r="H19" s="6">
        <v>284</v>
      </c>
      <c r="I19" s="6">
        <v>542</v>
      </c>
      <c r="J19" s="6">
        <v>713</v>
      </c>
      <c r="K19" s="6">
        <v>630</v>
      </c>
      <c r="L19" s="5">
        <v>568</v>
      </c>
      <c r="M19" s="65">
        <v>502</v>
      </c>
      <c r="N19" s="5">
        <v>525</v>
      </c>
      <c r="O19" s="5">
        <v>457</v>
      </c>
      <c r="P19" s="5">
        <v>410</v>
      </c>
      <c r="Q19" s="5">
        <v>387</v>
      </c>
      <c r="R19" s="212">
        <v>444</v>
      </c>
      <c r="S19" s="241">
        <v>408</v>
      </c>
      <c r="T19" s="241">
        <v>335</v>
      </c>
      <c r="U19" s="324">
        <v>348</v>
      </c>
      <c r="V19" s="325">
        <v>253</v>
      </c>
      <c r="W19" s="333">
        <v>228.3</v>
      </c>
      <c r="X19" s="333">
        <v>328.8</v>
      </c>
      <c r="Y19" s="325">
        <v>495</v>
      </c>
    </row>
    <row r="20" spans="1:25" ht="19.5" customHeight="1">
      <c r="A20" s="7" t="s">
        <v>13</v>
      </c>
      <c r="B20" s="8"/>
      <c r="C20" s="9"/>
      <c r="D20" s="6">
        <v>783</v>
      </c>
      <c r="E20" s="6">
        <v>818</v>
      </c>
      <c r="F20" s="6">
        <v>943</v>
      </c>
      <c r="G20" s="6">
        <v>1011</v>
      </c>
      <c r="H20" s="6">
        <v>1256</v>
      </c>
      <c r="I20" s="6">
        <v>1533</v>
      </c>
      <c r="J20" s="6">
        <v>1410</v>
      </c>
      <c r="K20" s="6">
        <v>1249</v>
      </c>
      <c r="L20" s="6">
        <v>1317</v>
      </c>
      <c r="M20" s="65">
        <v>1585</v>
      </c>
      <c r="N20" s="5">
        <v>1672</v>
      </c>
      <c r="O20" s="5">
        <v>1736</v>
      </c>
      <c r="P20" s="5">
        <v>1911</v>
      </c>
      <c r="Q20" s="5">
        <v>1964</v>
      </c>
      <c r="R20" s="212">
        <v>1779</v>
      </c>
      <c r="S20" s="241">
        <v>1624</v>
      </c>
      <c r="T20" s="241">
        <v>1766</v>
      </c>
      <c r="U20" s="324">
        <v>1693</v>
      </c>
      <c r="V20" s="325">
        <v>1973</v>
      </c>
      <c r="W20" s="333">
        <v>1876.7</v>
      </c>
      <c r="X20" s="333">
        <v>2436.2</v>
      </c>
      <c r="Y20" s="325">
        <v>2833</v>
      </c>
    </row>
    <row r="21" spans="1:25" ht="19.5" customHeight="1">
      <c r="A21" s="7" t="s">
        <v>14</v>
      </c>
      <c r="B21" s="8"/>
      <c r="C21" s="9"/>
      <c r="D21" s="6"/>
      <c r="E21" s="6"/>
      <c r="F21" s="6">
        <v>5</v>
      </c>
      <c r="G21" s="6">
        <v>5</v>
      </c>
      <c r="H21" s="6">
        <v>10</v>
      </c>
      <c r="I21" s="6">
        <v>42</v>
      </c>
      <c r="J21" s="6">
        <v>30</v>
      </c>
      <c r="K21" s="6">
        <v>37</v>
      </c>
      <c r="L21" s="5">
        <v>38</v>
      </c>
      <c r="M21" s="65">
        <v>10</v>
      </c>
      <c r="N21" s="5">
        <v>15</v>
      </c>
      <c r="O21" s="5">
        <v>13</v>
      </c>
      <c r="P21" s="5">
        <v>14</v>
      </c>
      <c r="Q21" s="5">
        <v>16</v>
      </c>
      <c r="R21" s="212">
        <v>10</v>
      </c>
      <c r="S21" s="241">
        <v>6</v>
      </c>
      <c r="T21" s="241"/>
      <c r="U21" s="324"/>
      <c r="V21" s="325"/>
      <c r="W21" s="333"/>
      <c r="X21" s="333"/>
      <c r="Y21" s="325"/>
    </row>
    <row r="22" spans="1:25" ht="19.5" customHeight="1">
      <c r="A22" s="191" t="s">
        <v>198</v>
      </c>
      <c r="B22" s="8"/>
      <c r="C22" s="9"/>
      <c r="D22" s="6">
        <v>1276</v>
      </c>
      <c r="E22" s="6">
        <v>1245</v>
      </c>
      <c r="F22" s="6">
        <v>1358</v>
      </c>
      <c r="G22" s="6">
        <v>1950</v>
      </c>
      <c r="H22" s="6">
        <v>2126</v>
      </c>
      <c r="I22" s="6">
        <v>2211</v>
      </c>
      <c r="J22" s="6">
        <f>1756+47+10+38.5</f>
        <v>1851.5</v>
      </c>
      <c r="K22" s="6">
        <v>1560</v>
      </c>
      <c r="L22" s="6">
        <v>1774</v>
      </c>
      <c r="M22" s="65">
        <v>2221</v>
      </c>
      <c r="N22" s="5">
        <v>2009</v>
      </c>
      <c r="O22" s="5">
        <v>1671</v>
      </c>
      <c r="P22" s="5">
        <v>1521</v>
      </c>
      <c r="Q22" s="5">
        <v>1466</v>
      </c>
      <c r="R22" s="212">
        <v>1329</v>
      </c>
      <c r="S22" s="241">
        <v>1295</v>
      </c>
      <c r="T22" s="241">
        <v>1423</v>
      </c>
      <c r="U22" s="324">
        <v>1527</v>
      </c>
      <c r="V22" s="325">
        <v>1757</v>
      </c>
      <c r="W22" s="333">
        <v>2280.2</v>
      </c>
      <c r="X22" s="333">
        <v>2346.9</v>
      </c>
      <c r="Y22" s="325">
        <v>2098</v>
      </c>
    </row>
    <row r="23" spans="1:25" ht="19.5" customHeight="1">
      <c r="A23" s="193" t="s">
        <v>199</v>
      </c>
      <c r="B23" s="8"/>
      <c r="C23" s="9"/>
      <c r="D23" s="6"/>
      <c r="E23" s="6"/>
      <c r="F23" s="6"/>
      <c r="G23" s="6"/>
      <c r="H23" s="6"/>
      <c r="I23" s="6" t="s">
        <v>39</v>
      </c>
      <c r="J23" s="6">
        <v>25.5</v>
      </c>
      <c r="K23" s="6">
        <v>12</v>
      </c>
      <c r="L23" s="5"/>
      <c r="M23" s="5">
        <v>73</v>
      </c>
      <c r="N23" s="5">
        <v>9</v>
      </c>
      <c r="O23" s="5">
        <v>335</v>
      </c>
      <c r="P23" s="5">
        <v>473</v>
      </c>
      <c r="Q23" s="5">
        <v>619</v>
      </c>
      <c r="R23" s="212">
        <v>757</v>
      </c>
      <c r="S23" s="241">
        <v>811</v>
      </c>
      <c r="T23" s="241">
        <v>755</v>
      </c>
      <c r="U23" s="324">
        <v>583</v>
      </c>
      <c r="V23" s="325">
        <v>666</v>
      </c>
      <c r="W23" s="333">
        <v>861.8</v>
      </c>
      <c r="X23" s="333">
        <v>805.8</v>
      </c>
      <c r="Y23" s="325">
        <v>1168</v>
      </c>
    </row>
    <row r="24" spans="1:25" ht="19.5" customHeight="1">
      <c r="A24" s="7" t="s">
        <v>17</v>
      </c>
      <c r="B24" s="8"/>
      <c r="C24" s="9"/>
      <c r="D24" s="6">
        <v>346</v>
      </c>
      <c r="E24" s="6">
        <v>392</v>
      </c>
      <c r="F24" s="6">
        <v>414</v>
      </c>
      <c r="G24" s="6">
        <v>414</v>
      </c>
      <c r="H24" s="6">
        <v>462</v>
      </c>
      <c r="I24" s="6">
        <v>537</v>
      </c>
      <c r="J24" s="6">
        <v>562</v>
      </c>
      <c r="K24" s="6">
        <v>814</v>
      </c>
      <c r="L24" s="5">
        <v>818</v>
      </c>
      <c r="M24" s="65">
        <v>817</v>
      </c>
      <c r="N24" s="5">
        <v>562</v>
      </c>
      <c r="O24" s="5">
        <v>660</v>
      </c>
      <c r="P24" s="5">
        <v>650</v>
      </c>
      <c r="Q24" s="5">
        <v>738</v>
      </c>
      <c r="R24" s="212">
        <v>714</v>
      </c>
      <c r="S24" s="241">
        <v>788</v>
      </c>
      <c r="T24" s="241">
        <v>755</v>
      </c>
      <c r="U24" s="324">
        <v>745</v>
      </c>
      <c r="V24" s="325">
        <v>395</v>
      </c>
      <c r="W24" s="333">
        <v>428.6</v>
      </c>
      <c r="X24" s="333">
        <v>419.1</v>
      </c>
      <c r="Y24" s="325">
        <v>451</v>
      </c>
    </row>
    <row r="25" spans="1:25" ht="19.5" customHeight="1">
      <c r="A25" s="7" t="s">
        <v>40</v>
      </c>
      <c r="B25" s="8"/>
      <c r="C25" s="9"/>
      <c r="D25" s="6">
        <v>21</v>
      </c>
      <c r="E25" s="6">
        <v>22</v>
      </c>
      <c r="F25" s="6">
        <v>18</v>
      </c>
      <c r="G25" s="6">
        <v>43</v>
      </c>
      <c r="H25" s="6">
        <v>27</v>
      </c>
      <c r="I25" s="6">
        <v>2.6</v>
      </c>
      <c r="J25" s="6">
        <v>0.2</v>
      </c>
      <c r="K25" s="6">
        <v>16</v>
      </c>
      <c r="L25" s="5">
        <v>5</v>
      </c>
      <c r="M25" s="5"/>
      <c r="N25" s="5"/>
      <c r="O25" s="5"/>
      <c r="P25" s="5">
        <v>5</v>
      </c>
      <c r="Q25" s="5"/>
      <c r="R25" s="212"/>
      <c r="S25" s="241"/>
      <c r="T25" s="241"/>
      <c r="U25" s="324"/>
      <c r="V25" s="326"/>
      <c r="W25" s="334"/>
      <c r="X25" s="327">
        <v>32.9</v>
      </c>
      <c r="Y25" s="326"/>
    </row>
    <row r="26" spans="1:25" ht="19.5" customHeight="1">
      <c r="A26" s="7" t="s">
        <v>18</v>
      </c>
      <c r="B26" s="8"/>
      <c r="C26" s="9"/>
      <c r="D26" s="6">
        <v>2</v>
      </c>
      <c r="E26" s="6"/>
      <c r="F26" s="6">
        <v>3</v>
      </c>
      <c r="G26" s="6"/>
      <c r="H26" s="6"/>
      <c r="I26" s="6"/>
      <c r="J26" s="6">
        <v>288</v>
      </c>
      <c r="K26" s="6">
        <v>285</v>
      </c>
      <c r="L26" s="5"/>
      <c r="M26" s="5"/>
      <c r="N26" s="5"/>
      <c r="O26" s="5"/>
      <c r="P26" s="5">
        <v>10</v>
      </c>
      <c r="Q26" s="5">
        <v>4</v>
      </c>
      <c r="R26" s="212">
        <v>4</v>
      </c>
      <c r="S26" s="241"/>
      <c r="T26" s="241"/>
      <c r="U26" s="324"/>
      <c r="V26" s="326"/>
      <c r="W26" s="334"/>
      <c r="X26" s="334"/>
      <c r="Y26" s="324">
        <v>35</v>
      </c>
    </row>
    <row r="27" spans="1:25" ht="19.5" customHeight="1">
      <c r="A27" s="7" t="s">
        <v>19</v>
      </c>
      <c r="B27" s="8"/>
      <c r="C27" s="9"/>
      <c r="D27" s="6">
        <v>1</v>
      </c>
      <c r="E27" s="6"/>
      <c r="F27" s="6"/>
      <c r="G27" s="6"/>
      <c r="H27" s="6">
        <v>16</v>
      </c>
      <c r="I27" s="6">
        <v>17</v>
      </c>
      <c r="J27" s="6">
        <v>17</v>
      </c>
      <c r="K27" s="6"/>
      <c r="L27" s="5"/>
      <c r="M27" s="5">
        <v>135.4</v>
      </c>
      <c r="N27" s="5">
        <v>264</v>
      </c>
      <c r="O27" s="5">
        <v>190</v>
      </c>
      <c r="P27" s="5">
        <f>4+199+25</f>
        <v>228</v>
      </c>
      <c r="Q27" s="5">
        <v>162</v>
      </c>
      <c r="R27" s="212">
        <v>107</v>
      </c>
      <c r="S27" s="241">
        <v>63</v>
      </c>
      <c r="T27" s="241">
        <v>28</v>
      </c>
      <c r="U27" s="324"/>
      <c r="V27" s="326"/>
      <c r="W27" s="327">
        <v>14.2</v>
      </c>
      <c r="X27" s="327">
        <v>52.6</v>
      </c>
      <c r="Y27" s="324">
        <v>14</v>
      </c>
    </row>
    <row r="28" spans="1:25" ht="19.5" customHeight="1">
      <c r="A28" s="13" t="s">
        <v>20</v>
      </c>
      <c r="B28" s="14"/>
      <c r="C28" s="15"/>
      <c r="D28" s="125">
        <f>SUM(D17:D27)</f>
        <v>6313</v>
      </c>
      <c r="E28" s="125">
        <v>6503</v>
      </c>
      <c r="F28" s="125">
        <v>6299</v>
      </c>
      <c r="G28" s="125">
        <v>7125</v>
      </c>
      <c r="H28" s="125">
        <v>8197</v>
      </c>
      <c r="I28" s="125">
        <f aca="true" t="shared" si="2" ref="I28:R28">SUM(I17:I27)</f>
        <v>9437.6</v>
      </c>
      <c r="J28" s="125">
        <f t="shared" si="2"/>
        <v>9609</v>
      </c>
      <c r="K28" s="125">
        <f t="shared" si="2"/>
        <v>9396</v>
      </c>
      <c r="L28" s="125">
        <f t="shared" si="2"/>
        <v>8791</v>
      </c>
      <c r="M28" s="125">
        <f t="shared" si="2"/>
        <v>10281.4</v>
      </c>
      <c r="N28" s="125">
        <f t="shared" si="2"/>
        <v>9013</v>
      </c>
      <c r="O28" s="125">
        <f t="shared" si="2"/>
        <v>9238</v>
      </c>
      <c r="P28" s="125">
        <f t="shared" si="2"/>
        <v>9140</v>
      </c>
      <c r="Q28" s="125">
        <f t="shared" si="2"/>
        <v>9567</v>
      </c>
      <c r="R28" s="125">
        <f t="shared" si="2"/>
        <v>9502</v>
      </c>
      <c r="S28" s="125">
        <f aca="true" t="shared" si="3" ref="S28:Y28">SUM(S17:S27)</f>
        <v>9113</v>
      </c>
      <c r="T28" s="125">
        <f t="shared" si="3"/>
        <v>9202</v>
      </c>
      <c r="U28" s="311">
        <f t="shared" si="3"/>
        <v>9691</v>
      </c>
      <c r="V28" s="311">
        <f t="shared" si="3"/>
        <v>9976</v>
      </c>
      <c r="W28" s="311">
        <f t="shared" si="3"/>
        <v>11216.4</v>
      </c>
      <c r="X28" s="360">
        <f t="shared" si="3"/>
        <v>11234.199999999999</v>
      </c>
      <c r="Y28" s="360">
        <f t="shared" si="3"/>
        <v>11861</v>
      </c>
    </row>
    <row r="29" spans="1:25" ht="19.5" customHeight="1">
      <c r="A29" s="7" t="s">
        <v>21</v>
      </c>
      <c r="B29" s="8"/>
      <c r="C29" s="9"/>
      <c r="D29" s="6">
        <v>1107</v>
      </c>
      <c r="E29" s="6">
        <v>1400</v>
      </c>
      <c r="F29" s="6">
        <v>1634</v>
      </c>
      <c r="G29" s="6">
        <v>1950</v>
      </c>
      <c r="H29" s="6">
        <v>2234</v>
      </c>
      <c r="I29" s="6">
        <v>2666</v>
      </c>
      <c r="J29" s="6">
        <f>2465+30.5+73.6+5.2+40.6+18.1+157.9</f>
        <v>2790.8999999999996</v>
      </c>
      <c r="K29" s="6">
        <v>2041</v>
      </c>
      <c r="L29" s="6">
        <v>1510</v>
      </c>
      <c r="M29" s="65">
        <v>1719</v>
      </c>
      <c r="N29" s="5">
        <v>2087</v>
      </c>
      <c r="O29" s="5">
        <v>1901</v>
      </c>
      <c r="P29" s="5">
        <v>1998</v>
      </c>
      <c r="Q29" s="5">
        <v>2675</v>
      </c>
      <c r="R29" s="212">
        <v>2683</v>
      </c>
      <c r="S29" s="241">
        <v>2750</v>
      </c>
      <c r="T29" s="241">
        <v>2197</v>
      </c>
      <c r="U29" s="324">
        <v>2331</v>
      </c>
      <c r="V29" s="325">
        <v>2899</v>
      </c>
      <c r="W29" s="333">
        <v>3065.8</v>
      </c>
      <c r="X29" s="325">
        <v>2872</v>
      </c>
      <c r="Y29" s="325">
        <v>3114</v>
      </c>
    </row>
    <row r="30" spans="1:25" ht="19.5" customHeight="1">
      <c r="A30" s="10" t="s">
        <v>22</v>
      </c>
      <c r="B30" s="11"/>
      <c r="C30" s="12"/>
      <c r="D30" s="6">
        <v>142</v>
      </c>
      <c r="E30" s="6">
        <v>180</v>
      </c>
      <c r="F30" s="6">
        <v>270</v>
      </c>
      <c r="G30" s="6">
        <v>261</v>
      </c>
      <c r="H30" s="6">
        <v>481</v>
      </c>
      <c r="I30" s="6">
        <v>396</v>
      </c>
      <c r="J30" s="6">
        <f>465.8+9.5+33.9</f>
        <v>509.2</v>
      </c>
      <c r="K30" s="6">
        <v>571</v>
      </c>
      <c r="L30" s="5">
        <v>671</v>
      </c>
      <c r="M30" s="65">
        <v>840</v>
      </c>
      <c r="N30" s="5">
        <v>644</v>
      </c>
      <c r="O30" s="5">
        <v>632</v>
      </c>
      <c r="P30" s="5">
        <v>513</v>
      </c>
      <c r="Q30" s="5">
        <v>622</v>
      </c>
      <c r="R30" s="212">
        <v>684</v>
      </c>
      <c r="S30" s="241">
        <v>735</v>
      </c>
      <c r="T30" s="241">
        <v>700</v>
      </c>
      <c r="U30" s="324">
        <v>726</v>
      </c>
      <c r="V30" s="325">
        <v>1022</v>
      </c>
      <c r="W30" s="325">
        <v>1201</v>
      </c>
      <c r="X30" s="333">
        <v>1645.6</v>
      </c>
      <c r="Y30" s="325">
        <v>2069</v>
      </c>
    </row>
    <row r="31" spans="1:25" ht="19.5" customHeight="1">
      <c r="A31" s="7" t="s">
        <v>80</v>
      </c>
      <c r="B31" s="8"/>
      <c r="C31" s="9"/>
      <c r="D31" s="6"/>
      <c r="E31" s="6"/>
      <c r="F31" s="6"/>
      <c r="G31" s="6"/>
      <c r="H31" s="6" t="s">
        <v>39</v>
      </c>
      <c r="I31" s="6">
        <v>65</v>
      </c>
      <c r="J31" s="6">
        <f>95.3+20</f>
        <v>115.3</v>
      </c>
      <c r="K31" s="6">
        <v>101</v>
      </c>
      <c r="L31" s="5">
        <v>121</v>
      </c>
      <c r="M31" s="65">
        <v>116</v>
      </c>
      <c r="N31" s="5">
        <v>120</v>
      </c>
      <c r="O31" s="5">
        <v>143</v>
      </c>
      <c r="P31" s="5">
        <v>169</v>
      </c>
      <c r="Q31" s="5">
        <v>177</v>
      </c>
      <c r="R31" s="213">
        <v>168</v>
      </c>
      <c r="S31" s="242">
        <v>150</v>
      </c>
      <c r="T31" s="242">
        <v>102</v>
      </c>
      <c r="U31" s="327">
        <v>129</v>
      </c>
      <c r="V31" s="327">
        <v>119</v>
      </c>
      <c r="W31" s="327">
        <v>131.4</v>
      </c>
      <c r="X31" s="327">
        <v>125.3</v>
      </c>
      <c r="Y31" s="327">
        <v>306</v>
      </c>
    </row>
    <row r="32" spans="1:25" ht="19.5" customHeight="1">
      <c r="A32" s="10" t="s">
        <v>24</v>
      </c>
      <c r="B32" s="8"/>
      <c r="C32" s="9"/>
      <c r="D32" s="6"/>
      <c r="E32" s="6"/>
      <c r="F32" s="6"/>
      <c r="G32" s="6">
        <v>10</v>
      </c>
      <c r="H32" s="6"/>
      <c r="I32" s="6">
        <v>10</v>
      </c>
      <c r="J32" s="6">
        <v>13</v>
      </c>
      <c r="K32" s="6">
        <v>8</v>
      </c>
      <c r="L32" s="5"/>
      <c r="M32" s="5"/>
      <c r="N32" s="5"/>
      <c r="O32" s="5"/>
      <c r="P32" s="5"/>
      <c r="Q32" s="5"/>
      <c r="R32" s="211"/>
      <c r="S32" s="241"/>
      <c r="T32" s="241"/>
      <c r="U32" s="324"/>
      <c r="V32" s="324"/>
      <c r="W32" s="324"/>
      <c r="X32" s="324"/>
      <c r="Y32" s="324"/>
    </row>
    <row r="33" spans="1:25" ht="19.5" customHeight="1">
      <c r="A33" s="7" t="s">
        <v>25</v>
      </c>
      <c r="B33" s="8"/>
      <c r="C33" s="9"/>
      <c r="D33" s="6">
        <v>46</v>
      </c>
      <c r="E33" s="6">
        <v>44</v>
      </c>
      <c r="F33" s="6">
        <v>99</v>
      </c>
      <c r="G33" s="6">
        <v>179</v>
      </c>
      <c r="H33" s="6"/>
      <c r="I33" s="6">
        <f>361+27.2+52.6</f>
        <v>440.8</v>
      </c>
      <c r="J33" s="6">
        <f>421.3+7+108.8+103.1</f>
        <v>640.2</v>
      </c>
      <c r="K33" s="6">
        <v>472</v>
      </c>
      <c r="L33" s="5">
        <v>453</v>
      </c>
      <c r="M33" s="5">
        <v>494</v>
      </c>
      <c r="N33" s="5">
        <v>508</v>
      </c>
      <c r="O33" s="5">
        <v>520</v>
      </c>
      <c r="P33" s="5">
        <v>828</v>
      </c>
      <c r="Q33" s="5">
        <v>1248</v>
      </c>
      <c r="R33" s="211">
        <v>1273</v>
      </c>
      <c r="S33" s="241">
        <v>2396</v>
      </c>
      <c r="T33" s="241">
        <v>2334</v>
      </c>
      <c r="U33" s="324"/>
      <c r="V33" s="324">
        <v>2354</v>
      </c>
      <c r="W33" s="324">
        <v>2204</v>
      </c>
      <c r="X33" s="327">
        <v>2232.1</v>
      </c>
      <c r="Y33" s="324"/>
    </row>
    <row r="34" spans="1:25" ht="19.5" customHeight="1">
      <c r="A34" s="7" t="s">
        <v>26</v>
      </c>
      <c r="B34" s="8"/>
      <c r="C34" s="9"/>
      <c r="D34" s="6"/>
      <c r="E34" s="6"/>
      <c r="F34" s="6"/>
      <c r="G34" s="6"/>
      <c r="H34" s="6">
        <v>7</v>
      </c>
      <c r="I34" s="6">
        <v>4</v>
      </c>
      <c r="J34" s="6">
        <f>3.9</f>
        <v>3.9</v>
      </c>
      <c r="K34" s="6">
        <v>26</v>
      </c>
      <c r="L34" s="5">
        <v>7</v>
      </c>
      <c r="M34" s="5"/>
      <c r="N34" s="5"/>
      <c r="O34" s="5"/>
      <c r="P34" s="5"/>
      <c r="Q34" s="5"/>
      <c r="R34" s="211">
        <v>31</v>
      </c>
      <c r="S34" s="241">
        <v>80</v>
      </c>
      <c r="T34" s="241">
        <v>7</v>
      </c>
      <c r="U34" s="324"/>
      <c r="V34" s="324"/>
      <c r="W34" s="324"/>
      <c r="X34" s="324"/>
      <c r="Y34" s="324"/>
    </row>
    <row r="35" spans="1:25" ht="19.5" customHeight="1">
      <c r="A35" s="7" t="s">
        <v>27</v>
      </c>
      <c r="B35" s="8"/>
      <c r="C35" s="9"/>
      <c r="D35" s="6">
        <v>4005</v>
      </c>
      <c r="E35" s="6">
        <v>5280</v>
      </c>
      <c r="F35" s="6">
        <v>4124</v>
      </c>
      <c r="G35" s="6">
        <v>3862</v>
      </c>
      <c r="H35" s="6"/>
      <c r="I35" s="6">
        <f>4435+582.5</f>
        <v>5017.5</v>
      </c>
      <c r="J35" s="6">
        <f>3955.8+99.8+29.9+23.3+114.8+447.5+22</f>
        <v>4693.1</v>
      </c>
      <c r="K35" s="6">
        <v>3347</v>
      </c>
      <c r="L35" s="6">
        <v>3880</v>
      </c>
      <c r="M35" s="5">
        <v>2782.8</v>
      </c>
      <c r="N35" s="5">
        <v>1655</v>
      </c>
      <c r="O35" s="5">
        <v>1685</v>
      </c>
      <c r="P35" s="5">
        <v>2376</v>
      </c>
      <c r="Q35" s="5">
        <v>2440</v>
      </c>
      <c r="R35" s="211">
        <v>2077</v>
      </c>
      <c r="S35" s="241">
        <v>1984</v>
      </c>
      <c r="T35" s="241">
        <v>1857</v>
      </c>
      <c r="U35" s="324"/>
      <c r="V35" s="324">
        <v>2605</v>
      </c>
      <c r="W35" s="324">
        <v>2901</v>
      </c>
      <c r="X35" s="327">
        <v>2797.3</v>
      </c>
      <c r="Y35" s="324"/>
    </row>
    <row r="36" spans="1:25" ht="19.5" customHeight="1">
      <c r="A36" s="7" t="s">
        <v>28</v>
      </c>
      <c r="B36" s="8"/>
      <c r="C36" s="9"/>
      <c r="D36" s="6">
        <v>48</v>
      </c>
      <c r="E36" s="6"/>
      <c r="F36" s="6">
        <v>70</v>
      </c>
      <c r="G36" s="6">
        <v>54</v>
      </c>
      <c r="H36" s="6"/>
      <c r="I36" s="6"/>
      <c r="J36" s="6"/>
      <c r="K36" s="6"/>
      <c r="L36" s="5"/>
      <c r="M36" s="5">
        <v>8.7</v>
      </c>
      <c r="N36" s="5"/>
      <c r="O36" s="5"/>
      <c r="P36" s="5"/>
      <c r="Q36" s="5"/>
      <c r="R36" s="211"/>
      <c r="S36" s="241"/>
      <c r="T36" s="241"/>
      <c r="U36" s="324"/>
      <c r="V36" s="324"/>
      <c r="W36" s="324"/>
      <c r="X36" s="324"/>
      <c r="Y36" s="324">
        <v>25</v>
      </c>
    </row>
    <row r="37" spans="1:25" ht="19.5" customHeight="1">
      <c r="A37" s="13" t="s">
        <v>29</v>
      </c>
      <c r="B37" s="14"/>
      <c r="C37" s="15"/>
      <c r="D37" s="125">
        <f>SUM(D29:D36)</f>
        <v>5348</v>
      </c>
      <c r="E37" s="125">
        <f>SUM(E29:E36)</f>
        <v>6904</v>
      </c>
      <c r="F37" s="125">
        <f>SUM(F29:F36)</f>
        <v>6197</v>
      </c>
      <c r="G37" s="125">
        <f aca="true" t="shared" si="4" ref="G37:M37">SUM(G29:G36)</f>
        <v>6316</v>
      </c>
      <c r="H37" s="125">
        <f t="shared" si="4"/>
        <v>2722</v>
      </c>
      <c r="I37" s="125">
        <f t="shared" si="4"/>
        <v>8599.3</v>
      </c>
      <c r="J37" s="125">
        <f t="shared" si="4"/>
        <v>8765.6</v>
      </c>
      <c r="K37" s="125">
        <f t="shared" si="4"/>
        <v>6566</v>
      </c>
      <c r="L37" s="125">
        <f t="shared" si="4"/>
        <v>6642</v>
      </c>
      <c r="M37" s="125">
        <f t="shared" si="4"/>
        <v>5960.5</v>
      </c>
      <c r="N37" s="125">
        <f aca="true" t="shared" si="5" ref="N37:T37">SUM(N29:N36)</f>
        <v>5014</v>
      </c>
      <c r="O37" s="125">
        <f t="shared" si="5"/>
        <v>4881</v>
      </c>
      <c r="P37" s="125">
        <f t="shared" si="5"/>
        <v>5884</v>
      </c>
      <c r="Q37" s="125">
        <f t="shared" si="5"/>
        <v>7162</v>
      </c>
      <c r="R37" s="125">
        <f t="shared" si="5"/>
        <v>6916</v>
      </c>
      <c r="S37" s="125">
        <f t="shared" si="5"/>
        <v>8095</v>
      </c>
      <c r="T37" s="125">
        <f t="shared" si="5"/>
        <v>7197</v>
      </c>
      <c r="U37" s="311">
        <f>SUM(U29:U36)</f>
        <v>3186</v>
      </c>
      <c r="V37" s="311">
        <f>SUM(V29:V36)</f>
        <v>8999</v>
      </c>
      <c r="W37" s="311">
        <f>SUM(W29:W36)</f>
        <v>9503.2</v>
      </c>
      <c r="X37" s="311">
        <f>SUM(X29:X36)</f>
        <v>9672.3</v>
      </c>
      <c r="Y37" s="360">
        <f>SUM(Y29:Y36)</f>
        <v>5514</v>
      </c>
    </row>
    <row r="38" spans="1:25" ht="19.5" customHeight="1">
      <c r="A38" s="7" t="s">
        <v>30</v>
      </c>
      <c r="B38" s="8"/>
      <c r="C38" s="9"/>
      <c r="D38" s="5"/>
      <c r="E38" s="5"/>
      <c r="F38" s="5">
        <v>15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11"/>
      <c r="S38" s="241"/>
      <c r="T38" s="241"/>
      <c r="U38" s="324"/>
      <c r="V38" s="324"/>
      <c r="W38" s="324"/>
      <c r="X38" s="324"/>
      <c r="Y38" s="324"/>
    </row>
    <row r="39" spans="1:25" ht="19.5" customHeight="1">
      <c r="A39" s="7" t="s">
        <v>31</v>
      </c>
      <c r="B39" s="8"/>
      <c r="C39" s="9"/>
      <c r="D39" s="5">
        <v>426</v>
      </c>
      <c r="E39" s="5">
        <v>739</v>
      </c>
      <c r="F39" s="5">
        <v>835</v>
      </c>
      <c r="G39" s="5">
        <v>730</v>
      </c>
      <c r="H39" s="5">
        <v>306</v>
      </c>
      <c r="I39" s="5">
        <v>393</v>
      </c>
      <c r="J39" s="5">
        <v>659.4</v>
      </c>
      <c r="K39" s="5">
        <v>907</v>
      </c>
      <c r="L39" s="5">
        <v>633</v>
      </c>
      <c r="M39" s="5">
        <v>608.3</v>
      </c>
      <c r="N39" s="5">
        <v>450</v>
      </c>
      <c r="O39" s="5">
        <v>310</v>
      </c>
      <c r="P39" s="5">
        <v>628</v>
      </c>
      <c r="Q39" s="5">
        <v>1313</v>
      </c>
      <c r="R39" s="211">
        <v>1220</v>
      </c>
      <c r="S39" s="241">
        <v>1165</v>
      </c>
      <c r="T39" s="241">
        <v>738</v>
      </c>
      <c r="U39" s="324">
        <v>720</v>
      </c>
      <c r="V39" s="324">
        <v>721</v>
      </c>
      <c r="W39" s="327">
        <v>686.3</v>
      </c>
      <c r="X39" s="327">
        <v>646.1</v>
      </c>
      <c r="Y39" s="324"/>
    </row>
    <row r="40" spans="1:25" ht="19.5" customHeight="1">
      <c r="A40" s="45" t="s">
        <v>93</v>
      </c>
      <c r="B40" s="8"/>
      <c r="C40" s="9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11"/>
      <c r="S40" s="241"/>
      <c r="T40" s="241"/>
      <c r="U40" s="324"/>
      <c r="V40" s="324"/>
      <c r="W40" s="324"/>
      <c r="X40" s="327"/>
      <c r="Y40" s="324"/>
    </row>
    <row r="41" spans="1:25" ht="19.5" customHeight="1">
      <c r="A41" s="45" t="s">
        <v>92</v>
      </c>
      <c r="B41" s="8"/>
      <c r="C41" s="9"/>
      <c r="D41" s="5">
        <v>834</v>
      </c>
      <c r="E41" s="5">
        <v>895</v>
      </c>
      <c r="F41" s="5">
        <v>1384</v>
      </c>
      <c r="G41" s="5">
        <v>627</v>
      </c>
      <c r="H41" s="5">
        <v>621</v>
      </c>
      <c r="I41" s="5">
        <v>983</v>
      </c>
      <c r="J41" s="5">
        <v>709</v>
      </c>
      <c r="K41" s="5">
        <v>858</v>
      </c>
      <c r="L41" s="5">
        <v>742</v>
      </c>
      <c r="M41" s="5">
        <v>924</v>
      </c>
      <c r="N41" s="5">
        <v>1120</v>
      </c>
      <c r="O41" s="5">
        <v>586</v>
      </c>
      <c r="P41" s="5">
        <v>630</v>
      </c>
      <c r="Q41" s="5">
        <v>498</v>
      </c>
      <c r="R41" s="211">
        <v>541</v>
      </c>
      <c r="S41" s="241">
        <v>504</v>
      </c>
      <c r="T41" s="241">
        <v>639</v>
      </c>
      <c r="U41" s="324">
        <v>215</v>
      </c>
      <c r="V41" s="324">
        <v>39</v>
      </c>
      <c r="W41" s="324">
        <v>64</v>
      </c>
      <c r="X41" s="327">
        <v>160.4</v>
      </c>
      <c r="Y41" s="324"/>
    </row>
    <row r="42" spans="1:25" ht="19.5" customHeight="1">
      <c r="A42" s="7" t="s">
        <v>34</v>
      </c>
      <c r="B42" s="8"/>
      <c r="C42" s="9"/>
      <c r="D42" s="6">
        <v>2604</v>
      </c>
      <c r="E42" s="6">
        <v>2185</v>
      </c>
      <c r="F42" s="6">
        <v>2129</v>
      </c>
      <c r="G42" s="5">
        <v>2041</v>
      </c>
      <c r="H42" s="5">
        <v>1849</v>
      </c>
      <c r="I42" s="5">
        <v>1777</v>
      </c>
      <c r="J42" s="5">
        <v>1762</v>
      </c>
      <c r="K42" s="5">
        <v>914</v>
      </c>
      <c r="L42" s="6">
        <v>850</v>
      </c>
      <c r="M42" s="5">
        <v>1282</v>
      </c>
      <c r="N42" s="5">
        <v>1158</v>
      </c>
      <c r="O42" s="5">
        <v>1256</v>
      </c>
      <c r="P42" s="5">
        <v>1292</v>
      </c>
      <c r="Q42" s="5">
        <v>1251</v>
      </c>
      <c r="R42" s="211">
        <v>1082</v>
      </c>
      <c r="S42" s="241">
        <v>1102</v>
      </c>
      <c r="T42" s="241">
        <v>965</v>
      </c>
      <c r="U42" s="324"/>
      <c r="V42" s="324"/>
      <c r="W42" s="324"/>
      <c r="X42" s="327"/>
      <c r="Y42" s="324"/>
    </row>
    <row r="43" spans="1:25" ht="19.5" customHeight="1">
      <c r="A43" s="7" t="s">
        <v>35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11"/>
      <c r="S43" s="241"/>
      <c r="T43" s="241"/>
      <c r="U43" s="324"/>
      <c r="V43" s="324"/>
      <c r="W43" s="324"/>
      <c r="X43" s="327"/>
      <c r="Y43" s="324"/>
    </row>
    <row r="44" spans="1:25" ht="19.5" customHeight="1">
      <c r="A44" s="7" t="s">
        <v>36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11"/>
      <c r="S44" s="241"/>
      <c r="T44" s="241"/>
      <c r="U44" s="324"/>
      <c r="V44" s="324"/>
      <c r="W44" s="324"/>
      <c r="X44" s="327"/>
      <c r="Y44" s="324"/>
    </row>
    <row r="45" spans="1:25" ht="19.5" customHeight="1">
      <c r="A45" s="7" t="s">
        <v>37</v>
      </c>
      <c r="B45" s="8"/>
      <c r="C45" s="9"/>
      <c r="D45" s="5"/>
      <c r="E45" s="5"/>
      <c r="F45" s="5"/>
      <c r="G45" s="5"/>
      <c r="H45" s="5"/>
      <c r="I45" s="6"/>
      <c r="J45" s="6"/>
      <c r="K45" s="6">
        <v>18</v>
      </c>
      <c r="L45" s="5">
        <v>20</v>
      </c>
      <c r="M45" s="5"/>
      <c r="N45" s="5"/>
      <c r="O45" s="5"/>
      <c r="P45" s="5"/>
      <c r="Q45" s="5"/>
      <c r="R45" s="211"/>
      <c r="S45" s="241"/>
      <c r="T45" s="241"/>
      <c r="U45" s="324"/>
      <c r="V45" s="324"/>
      <c r="W45" s="324"/>
      <c r="X45" s="327"/>
      <c r="Y45" s="324"/>
    </row>
    <row r="46" spans="1:25" ht="19.5" customHeight="1">
      <c r="A46" s="13" t="s">
        <v>38</v>
      </c>
      <c r="B46" s="14"/>
      <c r="C46" s="15"/>
      <c r="D46" s="125">
        <f>D16+D28+D37+D38+D39+D40+D41+D42+D43+D44+D45</f>
        <v>69742</v>
      </c>
      <c r="E46" s="125">
        <f>E16+E28+E37+E38+E39+E40+E41+E42+E43+E44+E45</f>
        <v>73221</v>
      </c>
      <c r="F46" s="125">
        <f>F16+F28+F37+F38+F39+F40+F41+F42+F43+F44+F45</f>
        <v>81946</v>
      </c>
      <c r="G46" s="125">
        <f aca="true" t="shared" si="6" ref="G46:T46">G16+G28+G37+G38+G39+G40+G41+G42+G43+G44+G45</f>
        <v>75196</v>
      </c>
      <c r="H46" s="125">
        <f t="shared" si="6"/>
        <v>68872</v>
      </c>
      <c r="I46" s="125">
        <f t="shared" si="6"/>
        <v>82917.5</v>
      </c>
      <c r="J46" s="125">
        <f t="shared" si="6"/>
        <v>79948.5</v>
      </c>
      <c r="K46" s="125">
        <f t="shared" si="6"/>
        <v>69276</v>
      </c>
      <c r="L46" s="125">
        <f t="shared" si="6"/>
        <v>71031</v>
      </c>
      <c r="M46" s="125">
        <f t="shared" si="6"/>
        <v>63343.200000000004</v>
      </c>
      <c r="N46" s="125">
        <f t="shared" si="6"/>
        <v>58441</v>
      </c>
      <c r="O46" s="125">
        <f t="shared" si="6"/>
        <v>57164</v>
      </c>
      <c r="P46" s="125">
        <f t="shared" si="6"/>
        <v>59579</v>
      </c>
      <c r="Q46" s="125">
        <f t="shared" si="6"/>
        <v>57621</v>
      </c>
      <c r="R46" s="125">
        <f t="shared" si="6"/>
        <v>60634</v>
      </c>
      <c r="S46" s="125">
        <f t="shared" si="6"/>
        <v>68037</v>
      </c>
      <c r="T46" s="125">
        <f t="shared" si="6"/>
        <v>64847</v>
      </c>
      <c r="U46" s="311">
        <f>U16+U28+U37+U38+U39+U40+U41+U42+U43+U44+U45+U4</f>
        <v>56640</v>
      </c>
      <c r="V46" s="311">
        <f>V16+V28+V37+V38+V39+V40+V41+V42+V43+V44+V45</f>
        <v>59421</v>
      </c>
      <c r="W46" s="311">
        <f>W16+W28+W37+W38+W39+W40+W41+W42+W43+W44+W45</f>
        <v>61048.90000000001</v>
      </c>
      <c r="X46" s="311">
        <f>X16+X28+X37+X38+X39+X40+X41+X42+X43+X44+X45</f>
        <v>59518.899999999994</v>
      </c>
      <c r="Y46" s="360">
        <f>Y16+Y28+Y37+Y38+Y39+Y40+Y41+Y42+Y43+Y44+Y45</f>
        <v>17375</v>
      </c>
    </row>
    <row r="47" ht="19.5" customHeight="1">
      <c r="F47" t="s">
        <v>39</v>
      </c>
    </row>
  </sheetData>
  <sheetProtection/>
  <mergeCells count="1"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8FF98F"/>
    <pageSetUpPr fitToPage="1"/>
  </sheetPr>
  <dimension ref="A1:AA50"/>
  <sheetViews>
    <sheetView zoomScale="95" zoomScaleNormal="95" zoomScalePageLayoutView="0" workbookViewId="0" topLeftCell="A1">
      <pane xSplit="3" topLeftCell="P1" activePane="topRight" state="frozen"/>
      <selection pane="topLeft" activeCell="A4" sqref="A4"/>
      <selection pane="topRight" activeCell="Y7" sqref="Y7"/>
    </sheetView>
  </sheetViews>
  <sheetFormatPr defaultColWidth="11.421875" defaultRowHeight="12.75"/>
  <cols>
    <col min="3" max="3" width="5.140625" style="0" customWidth="1"/>
    <col min="4" max="9" width="11.421875" style="0" hidden="1" customWidth="1"/>
    <col min="14" max="14" width="11.7109375" style="0" bestFit="1" customWidth="1"/>
    <col min="15" max="17" width="0" style="0" hidden="1" customWidth="1"/>
    <col min="21" max="24" width="11.421875" style="240" customWidth="1"/>
  </cols>
  <sheetData>
    <row r="1" spans="1:9" ht="16.5" customHeight="1">
      <c r="A1" s="4" t="s">
        <v>87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72" t="s">
        <v>41</v>
      </c>
      <c r="B2" s="372"/>
      <c r="C2" s="372"/>
      <c r="D2" s="372"/>
      <c r="E2" s="372"/>
      <c r="F2" s="372"/>
      <c r="G2" s="372"/>
      <c r="H2" s="372"/>
      <c r="I2" s="372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5.25" customHeight="1">
      <c r="A4" s="1"/>
      <c r="B4" s="1"/>
      <c r="C4" s="1"/>
      <c r="D4" s="1"/>
      <c r="E4" s="1"/>
      <c r="F4" s="1"/>
      <c r="G4" s="1"/>
      <c r="H4" s="1"/>
      <c r="I4" s="1"/>
    </row>
    <row r="5" spans="1:27" s="59" customFormat="1" ht="19.5" customHeight="1">
      <c r="A5" s="56" t="s">
        <v>0</v>
      </c>
      <c r="B5" s="57"/>
      <c r="C5" s="58"/>
      <c r="D5" s="149">
        <v>1997</v>
      </c>
      <c r="E5" s="149">
        <v>1998</v>
      </c>
      <c r="F5" s="149">
        <v>1999</v>
      </c>
      <c r="G5" s="149">
        <v>2000</v>
      </c>
      <c r="H5" s="149">
        <v>2001</v>
      </c>
      <c r="I5" s="149">
        <v>2002</v>
      </c>
      <c r="J5" s="149">
        <v>2003</v>
      </c>
      <c r="K5" s="149">
        <v>2004</v>
      </c>
      <c r="L5" s="149">
        <v>2005</v>
      </c>
      <c r="M5" s="149">
        <v>2006</v>
      </c>
      <c r="N5" s="149">
        <v>2007</v>
      </c>
      <c r="O5" s="167">
        <v>2008</v>
      </c>
      <c r="P5" s="167">
        <v>2009</v>
      </c>
      <c r="Q5" s="167">
        <v>2010</v>
      </c>
      <c r="R5" s="167">
        <v>2011</v>
      </c>
      <c r="S5" s="167">
        <v>2012</v>
      </c>
      <c r="T5" s="167">
        <v>2013</v>
      </c>
      <c r="U5" s="301">
        <v>2014</v>
      </c>
      <c r="V5" s="167">
        <v>2015</v>
      </c>
      <c r="W5" s="167">
        <v>2016</v>
      </c>
      <c r="X5" s="167">
        <v>2017</v>
      </c>
      <c r="Y5" s="167">
        <v>2018</v>
      </c>
      <c r="Z5" s="167"/>
      <c r="AA5" s="167"/>
    </row>
    <row r="6" spans="1:27" ht="19.5" customHeight="1">
      <c r="A6" s="7" t="s">
        <v>1</v>
      </c>
      <c r="B6" s="8"/>
      <c r="C6" s="9"/>
      <c r="D6" s="6">
        <v>24808</v>
      </c>
      <c r="E6" s="6">
        <v>22217</v>
      </c>
      <c r="F6" s="6">
        <v>24715</v>
      </c>
      <c r="G6" s="6">
        <v>20922</v>
      </c>
      <c r="H6" s="6">
        <v>22648</v>
      </c>
      <c r="I6" s="6">
        <v>18546</v>
      </c>
      <c r="J6" s="6">
        <v>19167.8</v>
      </c>
      <c r="K6" s="6">
        <v>19631.5</v>
      </c>
      <c r="L6" s="95">
        <v>17847.482352941177</v>
      </c>
      <c r="M6" s="6">
        <v>15469</v>
      </c>
      <c r="N6" s="5">
        <v>15493</v>
      </c>
      <c r="O6" s="5">
        <v>17692</v>
      </c>
      <c r="P6" s="5">
        <v>19483</v>
      </c>
      <c r="Q6" s="5">
        <v>16996</v>
      </c>
      <c r="R6" s="215">
        <v>16589</v>
      </c>
      <c r="S6" s="217">
        <v>20665</v>
      </c>
      <c r="T6" s="217">
        <v>22856</v>
      </c>
      <c r="U6" s="302">
        <v>19091.71</v>
      </c>
      <c r="V6" s="303">
        <v>18348.22</v>
      </c>
      <c r="W6" s="303">
        <v>17934</v>
      </c>
      <c r="X6" s="303">
        <v>20248.759999999995</v>
      </c>
      <c r="Y6" s="303">
        <v>20510</v>
      </c>
      <c r="Z6" s="303"/>
      <c r="AA6" s="303"/>
    </row>
    <row r="7" spans="1:27" ht="19.5" customHeight="1">
      <c r="A7" s="7" t="s">
        <v>2</v>
      </c>
      <c r="B7" s="8"/>
      <c r="C7" s="9"/>
      <c r="D7" s="6">
        <v>29473</v>
      </c>
      <c r="E7" s="6">
        <v>25441</v>
      </c>
      <c r="F7" s="6">
        <v>17745</v>
      </c>
      <c r="G7" s="6">
        <v>18225</v>
      </c>
      <c r="H7" s="6">
        <v>15094</v>
      </c>
      <c r="I7" s="6">
        <v>14894</v>
      </c>
      <c r="J7" s="6">
        <v>11280.8</v>
      </c>
      <c r="K7" s="6">
        <v>11363</v>
      </c>
      <c r="L7" s="95">
        <v>9517.498039215687</v>
      </c>
      <c r="M7" s="33">
        <v>9525</v>
      </c>
      <c r="N7" s="155">
        <v>9050</v>
      </c>
      <c r="O7" s="6">
        <v>9809</v>
      </c>
      <c r="P7" s="5">
        <v>10220</v>
      </c>
      <c r="Q7" s="5">
        <v>8707</v>
      </c>
      <c r="R7" s="216">
        <v>7100</v>
      </c>
      <c r="S7" s="218">
        <v>9694</v>
      </c>
      <c r="T7" s="218">
        <v>11947</v>
      </c>
      <c r="U7" s="302">
        <f>10812.77+2752.7</f>
        <v>13565.470000000001</v>
      </c>
      <c r="V7" s="303">
        <v>9334.32</v>
      </c>
      <c r="W7" s="303">
        <v>10271</v>
      </c>
      <c r="X7" s="303">
        <v>9972.94</v>
      </c>
      <c r="Y7" s="303">
        <v>8863.439999999999</v>
      </c>
      <c r="Z7" s="303"/>
      <c r="AA7" s="303"/>
    </row>
    <row r="8" spans="1:27" ht="19.5" customHeight="1">
      <c r="A8" s="7" t="s">
        <v>42</v>
      </c>
      <c r="B8" s="8"/>
      <c r="C8" s="9"/>
      <c r="D8" s="6">
        <v>3967</v>
      </c>
      <c r="E8" s="6">
        <v>3880</v>
      </c>
      <c r="F8" s="6">
        <v>4155</v>
      </c>
      <c r="G8" s="6">
        <v>3987</v>
      </c>
      <c r="H8" s="6">
        <v>4979</v>
      </c>
      <c r="I8" s="6">
        <v>4465</v>
      </c>
      <c r="J8" s="6">
        <v>3875</v>
      </c>
      <c r="K8" s="6">
        <v>2874</v>
      </c>
      <c r="L8" s="95">
        <v>2271</v>
      </c>
      <c r="M8" s="5">
        <v>3489</v>
      </c>
      <c r="N8" s="5">
        <v>3450</v>
      </c>
      <c r="O8" s="6">
        <v>4000</v>
      </c>
      <c r="P8" s="5">
        <v>3545</v>
      </c>
      <c r="Q8" s="5">
        <v>3390</v>
      </c>
      <c r="R8" s="216">
        <v>3194</v>
      </c>
      <c r="S8" s="218">
        <v>4404</v>
      </c>
      <c r="T8" s="218">
        <v>4714</v>
      </c>
      <c r="U8" s="302">
        <v>4053</v>
      </c>
      <c r="V8" s="303">
        <v>3774.58</v>
      </c>
      <c r="W8" s="303">
        <v>3759</v>
      </c>
      <c r="X8" s="303">
        <v>4743.3099999999995</v>
      </c>
      <c r="Y8" s="303">
        <v>2633</v>
      </c>
      <c r="Z8" s="303"/>
      <c r="AA8" s="303"/>
    </row>
    <row r="9" spans="1:27" ht="19.5" customHeight="1">
      <c r="A9" s="7" t="s">
        <v>3</v>
      </c>
      <c r="B9" s="8"/>
      <c r="C9" s="9"/>
      <c r="D9" s="6">
        <v>617</v>
      </c>
      <c r="E9" s="6">
        <v>641</v>
      </c>
      <c r="F9" s="6">
        <v>549</v>
      </c>
      <c r="G9" s="6">
        <v>359</v>
      </c>
      <c r="H9" s="6">
        <v>214</v>
      </c>
      <c r="I9" s="6">
        <v>242</v>
      </c>
      <c r="J9" s="6">
        <v>248.6</v>
      </c>
      <c r="K9" s="6">
        <v>250</v>
      </c>
      <c r="L9" s="95">
        <v>163.2</v>
      </c>
      <c r="M9" s="33">
        <v>159.9</v>
      </c>
      <c r="N9" s="5">
        <v>223</v>
      </c>
      <c r="O9" s="5">
        <v>261</v>
      </c>
      <c r="P9" s="5">
        <v>15</v>
      </c>
      <c r="Q9" s="5">
        <v>139</v>
      </c>
      <c r="R9" s="216">
        <v>145.7</v>
      </c>
      <c r="S9" s="218">
        <v>145.7</v>
      </c>
      <c r="T9" s="218">
        <v>180</v>
      </c>
      <c r="U9" s="302">
        <v>243</v>
      </c>
      <c r="V9" s="303">
        <v>337</v>
      </c>
      <c r="W9" s="303">
        <v>456.7</v>
      </c>
      <c r="X9" s="303">
        <v>629.1</v>
      </c>
      <c r="Y9" s="303">
        <v>655</v>
      </c>
      <c r="Z9" s="303"/>
      <c r="AA9" s="303"/>
    </row>
    <row r="10" spans="1:27" ht="19.5" customHeight="1">
      <c r="A10" s="7" t="s">
        <v>4</v>
      </c>
      <c r="B10" s="8"/>
      <c r="C10" s="9"/>
      <c r="D10" s="6">
        <v>285</v>
      </c>
      <c r="E10" s="6">
        <v>500</v>
      </c>
      <c r="F10" s="6">
        <v>611</v>
      </c>
      <c r="G10" s="6">
        <v>613</v>
      </c>
      <c r="H10" s="6">
        <v>715</v>
      </c>
      <c r="I10" s="6">
        <v>707</v>
      </c>
      <c r="J10" s="6">
        <v>706.1</v>
      </c>
      <c r="K10" s="6">
        <v>755.8</v>
      </c>
      <c r="L10" s="95">
        <v>947.8</v>
      </c>
      <c r="M10" s="5">
        <v>1062</v>
      </c>
      <c r="N10" s="5">
        <v>606</v>
      </c>
      <c r="O10" s="5">
        <v>776</v>
      </c>
      <c r="P10" s="5">
        <v>551</v>
      </c>
      <c r="Q10" s="5">
        <v>618</v>
      </c>
      <c r="R10" s="216">
        <v>444</v>
      </c>
      <c r="S10" s="218">
        <v>552</v>
      </c>
      <c r="T10" s="218">
        <v>1000</v>
      </c>
      <c r="U10" s="302">
        <v>664</v>
      </c>
      <c r="V10" s="303">
        <v>663</v>
      </c>
      <c r="W10" s="303">
        <v>494</v>
      </c>
      <c r="X10" s="303">
        <v>240</v>
      </c>
      <c r="Y10" s="303">
        <v>64.5</v>
      </c>
      <c r="Z10" s="303"/>
      <c r="AA10" s="303"/>
    </row>
    <row r="11" spans="1:27" ht="19.5" customHeight="1">
      <c r="A11" s="7" t="s">
        <v>61</v>
      </c>
      <c r="B11" s="8"/>
      <c r="C11" s="9"/>
      <c r="D11" s="6">
        <v>0</v>
      </c>
      <c r="E11" s="6">
        <v>80</v>
      </c>
      <c r="F11" s="6">
        <v>386</v>
      </c>
      <c r="G11" s="6">
        <v>344</v>
      </c>
      <c r="H11" s="6">
        <v>396</v>
      </c>
      <c r="I11" s="6">
        <v>248</v>
      </c>
      <c r="J11" s="6">
        <v>258.3</v>
      </c>
      <c r="K11" s="6">
        <v>157.7</v>
      </c>
      <c r="L11" s="95">
        <v>200.4</v>
      </c>
      <c r="M11" s="5">
        <v>145</v>
      </c>
      <c r="N11" s="5">
        <v>59</v>
      </c>
      <c r="O11" s="5">
        <v>0</v>
      </c>
      <c r="P11" s="5">
        <v>14</v>
      </c>
      <c r="Q11" s="5">
        <v>0</v>
      </c>
      <c r="R11" s="215">
        <v>0</v>
      </c>
      <c r="S11" s="217">
        <v>0</v>
      </c>
      <c r="T11" s="217">
        <v>0</v>
      </c>
      <c r="U11" s="302">
        <v>0</v>
      </c>
      <c r="V11" s="303">
        <v>0</v>
      </c>
      <c r="W11" s="303">
        <v>0</v>
      </c>
      <c r="X11" s="303">
        <v>0</v>
      </c>
      <c r="Y11" s="303">
        <v>0</v>
      </c>
      <c r="Z11" s="303"/>
      <c r="AA11" s="303"/>
    </row>
    <row r="12" spans="1:27" ht="19.5" customHeight="1">
      <c r="A12" s="7" t="s">
        <v>5</v>
      </c>
      <c r="B12" s="8"/>
      <c r="C12" s="9"/>
      <c r="D12" s="6">
        <v>1324</v>
      </c>
      <c r="E12" s="6">
        <v>1551</v>
      </c>
      <c r="F12" s="6">
        <v>2449</v>
      </c>
      <c r="G12" s="6">
        <v>1492</v>
      </c>
      <c r="H12" s="6">
        <v>2792</v>
      </c>
      <c r="I12" s="6">
        <v>1619</v>
      </c>
      <c r="J12" s="6">
        <v>1757.6</v>
      </c>
      <c r="K12" s="6">
        <v>2172.6</v>
      </c>
      <c r="L12" s="95">
        <v>2306.4</v>
      </c>
      <c r="M12" s="6">
        <v>2043.3</v>
      </c>
      <c r="N12" s="5">
        <v>1451</v>
      </c>
      <c r="O12" s="5">
        <v>1622</v>
      </c>
      <c r="P12" s="5">
        <v>2468</v>
      </c>
      <c r="Q12" s="5">
        <v>3152</v>
      </c>
      <c r="R12" s="216">
        <v>2957</v>
      </c>
      <c r="S12" s="218">
        <v>2464</v>
      </c>
      <c r="T12" s="218">
        <v>5154</v>
      </c>
      <c r="U12" s="302">
        <v>2382</v>
      </c>
      <c r="V12" s="303">
        <v>3116.31</v>
      </c>
      <c r="W12" s="303">
        <v>3055.64</v>
      </c>
      <c r="X12" s="303">
        <v>2534.5299999999997</v>
      </c>
      <c r="Y12" s="303">
        <v>253.99999999999997</v>
      </c>
      <c r="Z12" s="303"/>
      <c r="AA12" s="303"/>
    </row>
    <row r="13" spans="1:27" ht="19.5" customHeight="1">
      <c r="A13" s="7" t="s">
        <v>6</v>
      </c>
      <c r="B13" s="8"/>
      <c r="C13" s="9"/>
      <c r="D13" s="6">
        <v>56424</v>
      </c>
      <c r="E13" s="6">
        <v>59577</v>
      </c>
      <c r="F13" s="6">
        <v>56852</v>
      </c>
      <c r="G13" s="6">
        <v>57698</v>
      </c>
      <c r="H13" s="6">
        <v>39044</v>
      </c>
      <c r="I13" s="6">
        <v>43901</v>
      </c>
      <c r="J13" s="6">
        <v>36441</v>
      </c>
      <c r="K13" s="6">
        <v>39608</v>
      </c>
      <c r="L13" s="95">
        <v>40211.56470588235</v>
      </c>
      <c r="M13" s="156">
        <v>35364.9</v>
      </c>
      <c r="N13" s="6">
        <v>30729.1</v>
      </c>
      <c r="O13" s="6">
        <v>38795</v>
      </c>
      <c r="P13" s="6">
        <v>34887</v>
      </c>
      <c r="Q13" s="6">
        <v>35172</v>
      </c>
      <c r="R13" s="214">
        <v>34159</v>
      </c>
      <c r="S13" s="214">
        <v>35332</v>
      </c>
      <c r="T13" s="214">
        <v>34052</v>
      </c>
      <c r="U13" s="302">
        <v>41985</v>
      </c>
      <c r="V13" s="304">
        <v>36531.11</v>
      </c>
      <c r="W13" s="304">
        <v>33270</v>
      </c>
      <c r="X13" s="304">
        <v>32753.649999999998</v>
      </c>
      <c r="Y13" s="304">
        <v>33743.70000000001</v>
      </c>
      <c r="Z13" s="304"/>
      <c r="AA13" s="304"/>
    </row>
    <row r="14" spans="1:27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305">
        <v>0</v>
      </c>
      <c r="V14" s="251">
        <v>0</v>
      </c>
      <c r="W14" s="251">
        <v>0</v>
      </c>
      <c r="X14" s="251">
        <v>0</v>
      </c>
      <c r="Y14" s="364">
        <v>0</v>
      </c>
      <c r="Z14" s="251"/>
      <c r="AA14" s="364"/>
    </row>
    <row r="15" spans="1:27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305">
        <v>0</v>
      </c>
      <c r="V15" s="251">
        <v>0</v>
      </c>
      <c r="W15" s="251">
        <v>0</v>
      </c>
      <c r="X15" s="251">
        <v>0</v>
      </c>
      <c r="Y15" s="364">
        <v>0</v>
      </c>
      <c r="Z15" s="251"/>
      <c r="AA15" s="364"/>
    </row>
    <row r="16" spans="1:27" ht="19.5" customHeight="1">
      <c r="A16" s="13" t="s">
        <v>9</v>
      </c>
      <c r="B16" s="14"/>
      <c r="C16" s="15"/>
      <c r="D16" s="125">
        <v>116898</v>
      </c>
      <c r="E16" s="125">
        <v>113887</v>
      </c>
      <c r="F16" s="125">
        <v>107462</v>
      </c>
      <c r="G16" s="125">
        <v>103640</v>
      </c>
      <c r="H16" s="125">
        <v>84732</v>
      </c>
      <c r="I16" s="125">
        <v>84622</v>
      </c>
      <c r="J16" s="125">
        <f>SUM(J6:J15)</f>
        <v>73735.2</v>
      </c>
      <c r="K16" s="125">
        <f aca="true" t="shared" si="0" ref="K16:R16">SUM(K6:K15)</f>
        <v>76812.6</v>
      </c>
      <c r="L16" s="125">
        <f t="shared" si="0"/>
        <v>73465.34509803922</v>
      </c>
      <c r="M16" s="125">
        <f t="shared" si="0"/>
        <v>67258.1</v>
      </c>
      <c r="N16" s="125">
        <f t="shared" si="0"/>
        <v>61061.1</v>
      </c>
      <c r="O16" s="125">
        <f t="shared" si="0"/>
        <v>72955</v>
      </c>
      <c r="P16" s="125">
        <f t="shared" si="0"/>
        <v>71183</v>
      </c>
      <c r="Q16" s="125">
        <f t="shared" si="0"/>
        <v>68174</v>
      </c>
      <c r="R16" s="125">
        <f t="shared" si="0"/>
        <v>64588.7</v>
      </c>
      <c r="S16" s="125">
        <f aca="true" t="shared" si="1" ref="S16:Y16">SUM(S6:S15)</f>
        <v>73256.7</v>
      </c>
      <c r="T16" s="125">
        <f t="shared" si="1"/>
        <v>79903</v>
      </c>
      <c r="U16" s="306">
        <f t="shared" si="1"/>
        <v>81984.18</v>
      </c>
      <c r="V16" s="307">
        <f t="shared" si="1"/>
        <v>72104.54000000001</v>
      </c>
      <c r="W16" s="307">
        <f t="shared" si="1"/>
        <v>69240.34</v>
      </c>
      <c r="X16" s="307">
        <f t="shared" si="1"/>
        <v>71122.29</v>
      </c>
      <c r="Y16" s="362">
        <f t="shared" si="1"/>
        <v>66723.64000000001</v>
      </c>
      <c r="Z16" s="362"/>
      <c r="AA16" s="362"/>
    </row>
    <row r="17" spans="1:27" ht="19.5" customHeight="1">
      <c r="A17" s="7" t="s">
        <v>10</v>
      </c>
      <c r="B17" s="8"/>
      <c r="C17" s="9"/>
      <c r="D17" s="6">
        <v>138</v>
      </c>
      <c r="E17" s="6">
        <v>132</v>
      </c>
      <c r="F17" s="6">
        <v>127</v>
      </c>
      <c r="G17" s="6">
        <v>141</v>
      </c>
      <c r="H17" s="6">
        <v>152</v>
      </c>
      <c r="I17" s="6">
        <v>163</v>
      </c>
      <c r="J17" s="6">
        <v>139</v>
      </c>
      <c r="K17" s="6">
        <v>155</v>
      </c>
      <c r="L17" s="95">
        <v>211.8</v>
      </c>
      <c r="M17" s="6">
        <v>272</v>
      </c>
      <c r="N17" s="5">
        <v>329</v>
      </c>
      <c r="O17" s="65">
        <v>300.2</v>
      </c>
      <c r="P17" s="65">
        <v>279</v>
      </c>
      <c r="Q17" s="65">
        <v>184</v>
      </c>
      <c r="R17" s="219">
        <v>120</v>
      </c>
      <c r="S17" s="219">
        <v>100</v>
      </c>
      <c r="T17" s="219">
        <v>90</v>
      </c>
      <c r="U17" s="308">
        <v>30.4</v>
      </c>
      <c r="V17" s="309">
        <v>40.6</v>
      </c>
      <c r="W17" s="309">
        <v>42.3</v>
      </c>
      <c r="X17" s="309">
        <v>97.5</v>
      </c>
      <c r="Y17" s="309">
        <v>55.2</v>
      </c>
      <c r="Z17" s="309"/>
      <c r="AA17" s="309"/>
    </row>
    <row r="18" spans="1:27" ht="19.5" customHeight="1">
      <c r="A18" s="7" t="s">
        <v>11</v>
      </c>
      <c r="B18" s="8"/>
      <c r="C18" s="9"/>
      <c r="D18" s="6">
        <v>210</v>
      </c>
      <c r="E18" s="6">
        <v>41</v>
      </c>
      <c r="F18" s="6">
        <v>144</v>
      </c>
      <c r="G18" s="6">
        <v>30</v>
      </c>
      <c r="H18" s="6">
        <v>105</v>
      </c>
      <c r="I18" s="6">
        <v>30</v>
      </c>
      <c r="J18" s="6">
        <v>26</v>
      </c>
      <c r="K18" s="6">
        <v>10</v>
      </c>
      <c r="L18" s="95">
        <v>0</v>
      </c>
      <c r="M18" s="5">
        <v>64</v>
      </c>
      <c r="N18" s="5">
        <v>0</v>
      </c>
      <c r="O18" s="5">
        <v>46</v>
      </c>
      <c r="P18" s="5">
        <v>47</v>
      </c>
      <c r="Q18" s="5">
        <v>57</v>
      </c>
      <c r="R18" s="215">
        <v>50</v>
      </c>
      <c r="S18" s="215">
        <v>78</v>
      </c>
      <c r="T18" s="215">
        <v>0</v>
      </c>
      <c r="U18" s="302">
        <v>0</v>
      </c>
      <c r="V18" s="304">
        <v>94.5</v>
      </c>
      <c r="W18" s="304">
        <v>0</v>
      </c>
      <c r="X18" s="304">
        <v>69</v>
      </c>
      <c r="Y18" s="304">
        <v>0</v>
      </c>
      <c r="Z18" s="304"/>
      <c r="AA18" s="304"/>
    </row>
    <row r="19" spans="1:27" ht="19.5" customHeight="1">
      <c r="A19" s="38" t="s">
        <v>197</v>
      </c>
      <c r="B19" s="8"/>
      <c r="C19" s="9"/>
      <c r="D19" s="6"/>
      <c r="E19" s="6"/>
      <c r="F19" s="6"/>
      <c r="G19" s="6"/>
      <c r="H19" s="6"/>
      <c r="I19" s="6"/>
      <c r="J19" s="6">
        <v>0</v>
      </c>
      <c r="K19" s="6">
        <v>0</v>
      </c>
      <c r="L19" s="9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215">
        <v>0</v>
      </c>
      <c r="S19" s="215">
        <v>0</v>
      </c>
      <c r="T19" s="215">
        <v>0</v>
      </c>
      <c r="U19" s="302">
        <v>0</v>
      </c>
      <c r="V19" s="304">
        <v>0</v>
      </c>
      <c r="W19" s="304">
        <v>0</v>
      </c>
      <c r="X19" s="304">
        <v>0</v>
      </c>
      <c r="Y19" s="309">
        <v>0</v>
      </c>
      <c r="Z19" s="304"/>
      <c r="AA19" s="309"/>
    </row>
    <row r="20" spans="1:27" ht="19.5" customHeight="1">
      <c r="A20" s="7" t="s">
        <v>13</v>
      </c>
      <c r="B20" s="8"/>
      <c r="C20" s="9"/>
      <c r="D20" s="6">
        <v>314</v>
      </c>
      <c r="E20" s="6">
        <v>355</v>
      </c>
      <c r="F20" s="6">
        <v>410</v>
      </c>
      <c r="G20" s="6">
        <v>399</v>
      </c>
      <c r="H20" s="6">
        <v>294</v>
      </c>
      <c r="I20" s="6">
        <v>311</v>
      </c>
      <c r="J20" s="6">
        <v>264</v>
      </c>
      <c r="K20" s="6">
        <v>358.6</v>
      </c>
      <c r="L20" s="95">
        <v>309.9</v>
      </c>
      <c r="M20" s="33">
        <v>372.3</v>
      </c>
      <c r="N20" s="6">
        <v>485.9</v>
      </c>
      <c r="O20" s="65">
        <v>350.1</v>
      </c>
      <c r="P20" s="65">
        <v>349</v>
      </c>
      <c r="Q20" s="65">
        <v>361</v>
      </c>
      <c r="R20" s="219">
        <v>275.3</v>
      </c>
      <c r="S20" s="219">
        <v>246</v>
      </c>
      <c r="T20" s="219">
        <v>179</v>
      </c>
      <c r="U20" s="308">
        <v>253</v>
      </c>
      <c r="V20" s="309">
        <v>264.3</v>
      </c>
      <c r="W20" s="309">
        <v>358</v>
      </c>
      <c r="X20" s="309">
        <v>496</v>
      </c>
      <c r="Y20" s="309">
        <v>449.3</v>
      </c>
      <c r="Z20" s="309"/>
      <c r="AA20" s="309"/>
    </row>
    <row r="21" spans="1:27" ht="19.5" customHeight="1">
      <c r="A21" s="7" t="s">
        <v>14</v>
      </c>
      <c r="B21" s="8"/>
      <c r="C21" s="9"/>
      <c r="D21" s="6">
        <v>13</v>
      </c>
      <c r="E21" s="6"/>
      <c r="F21" s="6"/>
      <c r="G21" s="6"/>
      <c r="H21" s="6">
        <v>9</v>
      </c>
      <c r="I21" s="6">
        <v>21</v>
      </c>
      <c r="J21" s="6">
        <v>18</v>
      </c>
      <c r="K21" s="6">
        <v>0</v>
      </c>
      <c r="L21" s="9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215">
        <v>11</v>
      </c>
      <c r="S21" s="215">
        <v>11</v>
      </c>
      <c r="T21" s="215">
        <v>11</v>
      </c>
      <c r="U21" s="302">
        <v>0</v>
      </c>
      <c r="V21" s="304">
        <v>0</v>
      </c>
      <c r="W21" s="304">
        <v>9</v>
      </c>
      <c r="X21" s="304">
        <v>27.6</v>
      </c>
      <c r="Y21" s="304">
        <v>18.5</v>
      </c>
      <c r="Z21" s="304"/>
      <c r="AA21" s="304"/>
    </row>
    <row r="22" spans="1:27" ht="19.5" customHeight="1">
      <c r="A22" s="191" t="s">
        <v>198</v>
      </c>
      <c r="B22" s="8"/>
      <c r="C22" s="9"/>
      <c r="D22" s="6"/>
      <c r="E22" s="6">
        <v>4</v>
      </c>
      <c r="F22" s="6"/>
      <c r="G22" s="6">
        <v>2</v>
      </c>
      <c r="H22" s="6">
        <v>13</v>
      </c>
      <c r="I22" s="6">
        <v>6</v>
      </c>
      <c r="J22" s="6">
        <v>5</v>
      </c>
      <c r="K22" s="6">
        <v>0</v>
      </c>
      <c r="L22" s="9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215">
        <v>0</v>
      </c>
      <c r="S22" s="215">
        <v>0</v>
      </c>
      <c r="T22" s="215">
        <v>0</v>
      </c>
      <c r="U22" s="302">
        <v>0.7</v>
      </c>
      <c r="V22" s="304">
        <v>0.7</v>
      </c>
      <c r="W22" s="304">
        <v>8.9</v>
      </c>
      <c r="X22" s="304">
        <v>9</v>
      </c>
      <c r="Y22" s="304">
        <v>3.8</v>
      </c>
      <c r="Z22" s="304"/>
      <c r="AA22" s="304"/>
    </row>
    <row r="23" spans="1:27" ht="19.5" customHeight="1">
      <c r="A23" s="193" t="s">
        <v>199</v>
      </c>
      <c r="B23" s="8"/>
      <c r="C23" s="9"/>
      <c r="D23" s="6">
        <v>25</v>
      </c>
      <c r="E23" s="6">
        <v>16</v>
      </c>
      <c r="F23" s="6"/>
      <c r="G23" s="6">
        <v>9</v>
      </c>
      <c r="H23" s="6">
        <v>9</v>
      </c>
      <c r="I23" s="6">
        <v>9</v>
      </c>
      <c r="J23" s="6">
        <v>8</v>
      </c>
      <c r="K23" s="6"/>
      <c r="L23" s="9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215">
        <v>0</v>
      </c>
      <c r="S23" s="215">
        <v>5</v>
      </c>
      <c r="T23" s="215">
        <v>33</v>
      </c>
      <c r="U23" s="302">
        <v>33</v>
      </c>
      <c r="V23" s="304">
        <v>28</v>
      </c>
      <c r="W23" s="304">
        <v>11.2</v>
      </c>
      <c r="X23" s="304">
        <v>23.1</v>
      </c>
      <c r="Y23" s="304">
        <v>23.1</v>
      </c>
      <c r="Z23" s="304"/>
      <c r="AA23" s="304"/>
    </row>
    <row r="24" spans="1:27" ht="19.5" customHeight="1">
      <c r="A24" s="7" t="s">
        <v>17</v>
      </c>
      <c r="B24" s="8"/>
      <c r="C24" s="9"/>
      <c r="D24" s="6">
        <v>8987</v>
      </c>
      <c r="E24" s="6">
        <v>8760</v>
      </c>
      <c r="F24" s="6">
        <v>6269</v>
      </c>
      <c r="G24" s="6">
        <v>5117</v>
      </c>
      <c r="H24" s="6">
        <v>5257</v>
      </c>
      <c r="I24" s="6">
        <v>4687</v>
      </c>
      <c r="J24" s="6">
        <v>5000</v>
      </c>
      <c r="K24" s="6">
        <v>4911.7</v>
      </c>
      <c r="L24" s="95">
        <v>4730.9</v>
      </c>
      <c r="M24" s="65">
        <v>4595.6</v>
      </c>
      <c r="N24" s="6">
        <v>4630.4</v>
      </c>
      <c r="O24" s="5">
        <v>4034</v>
      </c>
      <c r="P24" s="5">
        <v>4035</v>
      </c>
      <c r="Q24" s="5">
        <v>3877</v>
      </c>
      <c r="R24" s="215">
        <v>4104</v>
      </c>
      <c r="S24" s="215">
        <v>4632</v>
      </c>
      <c r="T24" s="215">
        <v>4888</v>
      </c>
      <c r="U24" s="302">
        <v>5111</v>
      </c>
      <c r="V24" s="304">
        <v>4795.2</v>
      </c>
      <c r="W24" s="304">
        <v>5086.2</v>
      </c>
      <c r="X24" s="304">
        <v>4731.099999999999</v>
      </c>
      <c r="Y24" s="304">
        <v>5058.5</v>
      </c>
      <c r="Z24" s="304"/>
      <c r="AA24" s="304"/>
    </row>
    <row r="25" spans="1:27" ht="19.5" customHeight="1">
      <c r="A25" s="7" t="s">
        <v>47</v>
      </c>
      <c r="B25" s="8"/>
      <c r="C25" s="9"/>
      <c r="D25" s="6">
        <v>662</v>
      </c>
      <c r="E25" s="6">
        <v>968</v>
      </c>
      <c r="F25" s="6">
        <v>930</v>
      </c>
      <c r="G25" s="6">
        <v>666</v>
      </c>
      <c r="H25" s="6">
        <v>527</v>
      </c>
      <c r="I25" s="6">
        <v>444</v>
      </c>
      <c r="J25" s="6">
        <v>377</v>
      </c>
      <c r="K25" s="6">
        <v>550.2</v>
      </c>
      <c r="L25" s="95">
        <v>539.2</v>
      </c>
      <c r="M25" s="33">
        <v>393.6</v>
      </c>
      <c r="N25" s="5">
        <v>424</v>
      </c>
      <c r="O25" s="6">
        <v>393</v>
      </c>
      <c r="P25" s="6">
        <v>488</v>
      </c>
      <c r="Q25" s="6">
        <v>547</v>
      </c>
      <c r="R25" s="214">
        <v>498</v>
      </c>
      <c r="S25" s="214">
        <v>641</v>
      </c>
      <c r="T25" s="214">
        <v>699</v>
      </c>
      <c r="U25" s="302">
        <v>613</v>
      </c>
      <c r="V25" s="304">
        <v>636.9</v>
      </c>
      <c r="W25" s="304">
        <v>735</v>
      </c>
      <c r="X25" s="304">
        <v>537.5</v>
      </c>
      <c r="Y25" s="304">
        <v>578.4000000000001</v>
      </c>
      <c r="Z25" s="304"/>
      <c r="AA25" s="304"/>
    </row>
    <row r="26" spans="1:27" ht="19.5" customHeight="1">
      <c r="A26" s="7" t="s">
        <v>18</v>
      </c>
      <c r="B26" s="8"/>
      <c r="C26" s="9"/>
      <c r="D26" s="6">
        <v>1141</v>
      </c>
      <c r="E26" s="6">
        <v>1463</v>
      </c>
      <c r="F26" s="6">
        <v>1137</v>
      </c>
      <c r="G26" s="6">
        <v>657</v>
      </c>
      <c r="H26" s="6">
        <v>397</v>
      </c>
      <c r="I26" s="6">
        <v>339</v>
      </c>
      <c r="J26" s="6">
        <v>288</v>
      </c>
      <c r="K26" s="6">
        <v>284.7</v>
      </c>
      <c r="L26" s="95">
        <v>0</v>
      </c>
      <c r="M26" s="65">
        <v>142</v>
      </c>
      <c r="N26" s="6">
        <v>148.4</v>
      </c>
      <c r="O26" s="65">
        <v>126.1</v>
      </c>
      <c r="P26" s="65">
        <v>176</v>
      </c>
      <c r="Q26" s="65">
        <v>181</v>
      </c>
      <c r="R26" s="219">
        <v>178.8</v>
      </c>
      <c r="S26" s="219">
        <v>173</v>
      </c>
      <c r="T26" s="219">
        <v>147</v>
      </c>
      <c r="U26" s="308">
        <v>157</v>
      </c>
      <c r="V26" s="309">
        <v>270</v>
      </c>
      <c r="W26" s="309">
        <v>196.4</v>
      </c>
      <c r="X26" s="309">
        <v>189.1</v>
      </c>
      <c r="Y26" s="309">
        <v>255.2</v>
      </c>
      <c r="Z26" s="309"/>
      <c r="AA26" s="309"/>
    </row>
    <row r="27" spans="1:27" ht="19.5" customHeight="1">
      <c r="A27" s="7" t="s">
        <v>19</v>
      </c>
      <c r="B27" s="8"/>
      <c r="C27" s="9"/>
      <c r="D27" s="6"/>
      <c r="E27" s="6"/>
      <c r="F27" s="6">
        <v>9</v>
      </c>
      <c r="G27" s="6">
        <v>6</v>
      </c>
      <c r="H27" s="6"/>
      <c r="I27" s="6"/>
      <c r="J27" s="6">
        <v>0</v>
      </c>
      <c r="K27" s="6">
        <v>0</v>
      </c>
      <c r="L27" s="95">
        <v>1.6</v>
      </c>
      <c r="M27" s="65">
        <v>2</v>
      </c>
      <c r="N27" s="5">
        <v>0</v>
      </c>
      <c r="O27" s="5">
        <v>0</v>
      </c>
      <c r="P27" s="5">
        <v>0</v>
      </c>
      <c r="Q27" s="5">
        <v>1</v>
      </c>
      <c r="R27" s="215">
        <v>22</v>
      </c>
      <c r="S27" s="215">
        <v>15</v>
      </c>
      <c r="T27" s="215">
        <v>60</v>
      </c>
      <c r="U27" s="302">
        <v>92.1</v>
      </c>
      <c r="V27" s="304">
        <v>78.5</v>
      </c>
      <c r="W27" s="304">
        <v>32.1</v>
      </c>
      <c r="X27" s="304">
        <v>47</v>
      </c>
      <c r="Y27" s="304">
        <v>97.7</v>
      </c>
      <c r="Z27" s="304"/>
      <c r="AA27" s="304"/>
    </row>
    <row r="28" spans="1:27" ht="19.5" customHeight="1">
      <c r="A28" s="13" t="s">
        <v>20</v>
      </c>
      <c r="B28" s="14"/>
      <c r="C28" s="15"/>
      <c r="D28" s="125">
        <v>11490</v>
      </c>
      <c r="E28" s="125">
        <v>11739</v>
      </c>
      <c r="F28" s="125">
        <v>9026</v>
      </c>
      <c r="G28" s="125">
        <v>7025</v>
      </c>
      <c r="H28" s="125">
        <v>8138</v>
      </c>
      <c r="I28" s="125">
        <v>6820</v>
      </c>
      <c r="J28" s="125">
        <f>SUM(J17:J27)</f>
        <v>6125</v>
      </c>
      <c r="K28" s="125">
        <f aca="true" t="shared" si="2" ref="K28:R28">SUM(K17:K27)</f>
        <v>6270.2</v>
      </c>
      <c r="L28" s="125">
        <f t="shared" si="2"/>
        <v>5793.4</v>
      </c>
      <c r="M28" s="125">
        <f t="shared" si="2"/>
        <v>5841.500000000001</v>
      </c>
      <c r="N28" s="125">
        <f t="shared" si="2"/>
        <v>6017.699999999999</v>
      </c>
      <c r="O28" s="125">
        <f t="shared" si="2"/>
        <v>5249.400000000001</v>
      </c>
      <c r="P28" s="125">
        <f t="shared" si="2"/>
        <v>5374</v>
      </c>
      <c r="Q28" s="125">
        <f t="shared" si="2"/>
        <v>5208</v>
      </c>
      <c r="R28" s="125">
        <f t="shared" si="2"/>
        <v>5259.1</v>
      </c>
      <c r="S28" s="125">
        <f aca="true" t="shared" si="3" ref="S28:Y28">SUM(S17:S27)</f>
        <v>5901</v>
      </c>
      <c r="T28" s="125">
        <f t="shared" si="3"/>
        <v>6107</v>
      </c>
      <c r="U28" s="306">
        <f t="shared" si="3"/>
        <v>6290.200000000001</v>
      </c>
      <c r="V28" s="307">
        <f t="shared" si="3"/>
        <v>6208.7</v>
      </c>
      <c r="W28" s="307">
        <f t="shared" si="3"/>
        <v>6479.099999999999</v>
      </c>
      <c r="X28" s="307">
        <f t="shared" si="3"/>
        <v>6226.9</v>
      </c>
      <c r="Y28" s="362">
        <f t="shared" si="3"/>
        <v>6539.699999999999</v>
      </c>
      <c r="Z28" s="362"/>
      <c r="AA28" s="362"/>
    </row>
    <row r="29" spans="1:27" ht="19.5" customHeight="1">
      <c r="A29" s="7" t="s">
        <v>21</v>
      </c>
      <c r="B29" s="8"/>
      <c r="C29" s="9"/>
      <c r="D29" s="6">
        <v>24</v>
      </c>
      <c r="E29" s="6">
        <v>24</v>
      </c>
      <c r="F29" s="6">
        <v>49</v>
      </c>
      <c r="G29" s="6">
        <v>103</v>
      </c>
      <c r="H29" s="6">
        <v>125</v>
      </c>
      <c r="I29" s="6">
        <v>81</v>
      </c>
      <c r="J29" s="6">
        <v>69</v>
      </c>
      <c r="K29" s="6">
        <v>31</v>
      </c>
      <c r="L29" s="95">
        <v>29.1</v>
      </c>
      <c r="M29" s="6">
        <v>50.5</v>
      </c>
      <c r="N29" s="5">
        <v>80</v>
      </c>
      <c r="O29" s="65">
        <v>87</v>
      </c>
      <c r="P29" s="65">
        <v>108</v>
      </c>
      <c r="Q29" s="65">
        <v>78</v>
      </c>
      <c r="R29" s="219">
        <v>124</v>
      </c>
      <c r="S29" s="219">
        <v>169</v>
      </c>
      <c r="T29" s="219">
        <v>184</v>
      </c>
      <c r="U29" s="308">
        <v>188</v>
      </c>
      <c r="V29" s="309">
        <v>101</v>
      </c>
      <c r="W29" s="309">
        <v>69.4</v>
      </c>
      <c r="X29" s="309">
        <v>86</v>
      </c>
      <c r="Y29" s="309">
        <v>134.5</v>
      </c>
      <c r="Z29" s="309"/>
      <c r="AA29" s="309"/>
    </row>
    <row r="30" spans="1:27" ht="19.5" customHeight="1">
      <c r="A30" s="10" t="s">
        <v>22</v>
      </c>
      <c r="B30" s="11"/>
      <c r="C30" s="12"/>
      <c r="D30" s="6">
        <v>100</v>
      </c>
      <c r="E30" s="6">
        <v>116</v>
      </c>
      <c r="F30" s="6">
        <v>109</v>
      </c>
      <c r="G30" s="6">
        <v>11</v>
      </c>
      <c r="H30" s="6">
        <v>59</v>
      </c>
      <c r="I30" s="6">
        <v>85</v>
      </c>
      <c r="J30" s="6">
        <v>72</v>
      </c>
      <c r="K30" s="6">
        <v>74</v>
      </c>
      <c r="L30" s="95">
        <v>100.8</v>
      </c>
      <c r="M30" s="33">
        <v>61.8</v>
      </c>
      <c r="N30" s="5">
        <v>68</v>
      </c>
      <c r="O30" s="65">
        <v>50.4</v>
      </c>
      <c r="P30" s="65">
        <v>14</v>
      </c>
      <c r="Q30" s="65">
        <v>33</v>
      </c>
      <c r="R30" s="219">
        <v>25</v>
      </c>
      <c r="S30" s="219">
        <v>52</v>
      </c>
      <c r="T30" s="219">
        <v>128</v>
      </c>
      <c r="U30" s="308">
        <v>75.6</v>
      </c>
      <c r="V30" s="309">
        <v>27.4</v>
      </c>
      <c r="W30" s="309">
        <v>0</v>
      </c>
      <c r="X30" s="309">
        <v>0</v>
      </c>
      <c r="Y30" s="309">
        <v>0</v>
      </c>
      <c r="Z30" s="309"/>
      <c r="AA30" s="309"/>
    </row>
    <row r="31" spans="1:27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>
        <v>0</v>
      </c>
      <c r="K31" s="6">
        <v>0</v>
      </c>
      <c r="L31" s="9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215">
        <v>0</v>
      </c>
      <c r="S31" s="215">
        <v>0</v>
      </c>
      <c r="T31" s="215">
        <v>0</v>
      </c>
      <c r="U31" s="302">
        <v>0</v>
      </c>
      <c r="V31" s="304">
        <v>0</v>
      </c>
      <c r="W31" s="304">
        <v>0</v>
      </c>
      <c r="X31" s="304">
        <v>0</v>
      </c>
      <c r="Y31" s="309">
        <v>0</v>
      </c>
      <c r="Z31" s="304"/>
      <c r="AA31" s="309"/>
    </row>
    <row r="32" spans="1:27" ht="19.5" customHeight="1">
      <c r="A32" s="10" t="s">
        <v>24</v>
      </c>
      <c r="B32" s="8"/>
      <c r="C32" s="9"/>
      <c r="D32" s="6">
        <v>190</v>
      </c>
      <c r="E32" s="6">
        <v>39</v>
      </c>
      <c r="F32" s="6">
        <v>50</v>
      </c>
      <c r="G32" s="6">
        <v>148</v>
      </c>
      <c r="H32" s="6">
        <v>29</v>
      </c>
      <c r="I32" s="6">
        <v>110</v>
      </c>
      <c r="J32" s="6">
        <v>94</v>
      </c>
      <c r="K32" s="6">
        <v>126</v>
      </c>
      <c r="L32" s="95">
        <v>68.8</v>
      </c>
      <c r="M32" s="33">
        <v>121.9</v>
      </c>
      <c r="N32" s="5">
        <v>88</v>
      </c>
      <c r="O32" s="6">
        <v>126</v>
      </c>
      <c r="P32" s="6">
        <v>116</v>
      </c>
      <c r="Q32" s="6">
        <v>107</v>
      </c>
      <c r="R32" s="214">
        <v>68</v>
      </c>
      <c r="S32" s="214">
        <v>135</v>
      </c>
      <c r="T32" s="214">
        <v>86</v>
      </c>
      <c r="U32" s="302">
        <v>92.3</v>
      </c>
      <c r="V32" s="304">
        <v>137.8</v>
      </c>
      <c r="W32" s="304">
        <v>147.7</v>
      </c>
      <c r="X32" s="304">
        <v>125.5</v>
      </c>
      <c r="Y32" s="304">
        <v>73.5</v>
      </c>
      <c r="Z32" s="304"/>
      <c r="AA32" s="304"/>
    </row>
    <row r="33" spans="1:27" ht="19.5" customHeight="1">
      <c r="A33" s="7" t="s">
        <v>25</v>
      </c>
      <c r="B33" s="8"/>
      <c r="C33" s="9"/>
      <c r="D33" s="6">
        <v>5711</v>
      </c>
      <c r="E33" s="6">
        <v>6632</v>
      </c>
      <c r="F33" s="6">
        <v>5593</v>
      </c>
      <c r="G33" s="6">
        <v>5551</v>
      </c>
      <c r="H33" s="6">
        <v>7214</v>
      </c>
      <c r="I33" s="6">
        <v>6971</v>
      </c>
      <c r="J33" s="6">
        <v>6500</v>
      </c>
      <c r="K33" s="6">
        <v>7112.3</v>
      </c>
      <c r="L33" s="95">
        <v>7394.8</v>
      </c>
      <c r="M33" s="65">
        <v>6643</v>
      </c>
      <c r="N33" s="95">
        <v>1906.6</v>
      </c>
      <c r="O33" s="5">
        <v>5056</v>
      </c>
      <c r="P33" s="5">
        <v>6113</v>
      </c>
      <c r="Q33" s="5">
        <v>5317</v>
      </c>
      <c r="R33" s="215">
        <v>5214</v>
      </c>
      <c r="S33" s="215">
        <v>4511</v>
      </c>
      <c r="T33" s="215">
        <v>5702</v>
      </c>
      <c r="U33" s="302">
        <v>5922.1</v>
      </c>
      <c r="V33" s="304">
        <v>8598</v>
      </c>
      <c r="W33" s="304">
        <v>7068.5</v>
      </c>
      <c r="X33" s="304">
        <v>6868.5</v>
      </c>
      <c r="Y33" s="304">
        <v>2788.4000000000005</v>
      </c>
      <c r="Z33" s="304"/>
      <c r="AA33" s="304"/>
    </row>
    <row r="34" spans="1:27" ht="19.5" customHeight="1">
      <c r="A34" s="7" t="s">
        <v>26</v>
      </c>
      <c r="B34" s="8"/>
      <c r="C34" s="9"/>
      <c r="D34" s="6"/>
      <c r="E34" s="6"/>
      <c r="F34" s="6"/>
      <c r="G34" s="6">
        <v>178</v>
      </c>
      <c r="H34" s="6"/>
      <c r="I34" s="6"/>
      <c r="J34" s="6">
        <v>1740</v>
      </c>
      <c r="K34" s="6">
        <v>615</v>
      </c>
      <c r="L34" s="95">
        <v>447</v>
      </c>
      <c r="M34" s="5">
        <v>416</v>
      </c>
      <c r="N34" s="5">
        <v>254</v>
      </c>
      <c r="O34" s="5">
        <v>169</v>
      </c>
      <c r="P34" s="5">
        <v>146</v>
      </c>
      <c r="Q34" s="5">
        <v>192</v>
      </c>
      <c r="R34" s="215">
        <v>147</v>
      </c>
      <c r="S34" s="215">
        <v>82</v>
      </c>
      <c r="T34" s="215">
        <v>78</v>
      </c>
      <c r="U34" s="302">
        <v>63.1</v>
      </c>
      <c r="V34" s="304">
        <v>83.4</v>
      </c>
      <c r="W34" s="304">
        <v>140.1</v>
      </c>
      <c r="X34" s="304">
        <v>152.8</v>
      </c>
      <c r="Y34" s="304">
        <v>0</v>
      </c>
      <c r="Z34" s="304"/>
      <c r="AA34" s="304"/>
    </row>
    <row r="35" spans="1:27" ht="19.5" customHeight="1">
      <c r="A35" s="7" t="s">
        <v>27</v>
      </c>
      <c r="B35" s="8"/>
      <c r="C35" s="9"/>
      <c r="D35" s="6">
        <v>7845</v>
      </c>
      <c r="E35" s="6">
        <v>9307</v>
      </c>
      <c r="F35" s="6">
        <v>7612</v>
      </c>
      <c r="G35" s="6">
        <v>5892</v>
      </c>
      <c r="H35" s="6">
        <v>6551</v>
      </c>
      <c r="I35" s="6">
        <v>5098</v>
      </c>
      <c r="J35" s="6">
        <v>5000</v>
      </c>
      <c r="K35" s="6">
        <v>5076</v>
      </c>
      <c r="L35" s="95">
        <v>4860.4</v>
      </c>
      <c r="M35" s="268">
        <v>3875</v>
      </c>
      <c r="N35" s="5">
        <v>3392</v>
      </c>
      <c r="O35" s="5">
        <v>3161</v>
      </c>
      <c r="P35" s="5">
        <v>4320</v>
      </c>
      <c r="Q35" s="5">
        <v>4825</v>
      </c>
      <c r="R35" s="215">
        <v>3578</v>
      </c>
      <c r="S35" s="215">
        <v>2563</v>
      </c>
      <c r="T35" s="215">
        <v>2982</v>
      </c>
      <c r="U35" s="302">
        <v>2859.7</v>
      </c>
      <c r="V35" s="304">
        <v>4286.2</v>
      </c>
      <c r="W35" s="304">
        <v>4566</v>
      </c>
      <c r="X35" s="304">
        <v>4522.3</v>
      </c>
      <c r="Y35" s="304">
        <v>561.1999999999999</v>
      </c>
      <c r="Z35" s="304"/>
      <c r="AA35" s="304"/>
    </row>
    <row r="36" spans="1:27" ht="19.5" customHeight="1">
      <c r="A36" s="7" t="s">
        <v>28</v>
      </c>
      <c r="B36" s="8"/>
      <c r="C36" s="9"/>
      <c r="D36" s="6"/>
      <c r="E36" s="6"/>
      <c r="F36" s="6">
        <v>1</v>
      </c>
      <c r="G36" s="6"/>
      <c r="H36" s="6"/>
      <c r="I36" s="6"/>
      <c r="J36" s="6">
        <v>0</v>
      </c>
      <c r="K36" s="6">
        <v>0</v>
      </c>
      <c r="L36" s="95">
        <v>0</v>
      </c>
      <c r="M36" s="5">
        <v>5</v>
      </c>
      <c r="N36" s="5">
        <v>0</v>
      </c>
      <c r="O36" s="5">
        <v>0</v>
      </c>
      <c r="P36" s="5">
        <v>0</v>
      </c>
      <c r="Q36" s="5">
        <v>0</v>
      </c>
      <c r="R36" s="215">
        <v>0</v>
      </c>
      <c r="S36" s="214">
        <v>0</v>
      </c>
      <c r="T36" s="214">
        <v>0</v>
      </c>
      <c r="U36" s="302">
        <v>16.5</v>
      </c>
      <c r="V36" s="304">
        <v>0</v>
      </c>
      <c r="W36" s="304">
        <v>0</v>
      </c>
      <c r="X36" s="304">
        <v>403</v>
      </c>
      <c r="Y36" s="304">
        <v>0</v>
      </c>
      <c r="Z36" s="304"/>
      <c r="AA36" s="304"/>
    </row>
    <row r="37" spans="1:27" ht="19.5" customHeight="1">
      <c r="A37" s="13" t="s">
        <v>29</v>
      </c>
      <c r="B37" s="14"/>
      <c r="C37" s="15"/>
      <c r="D37" s="125">
        <v>13870</v>
      </c>
      <c r="E37" s="125">
        <v>16118</v>
      </c>
      <c r="F37" s="125">
        <v>13414</v>
      </c>
      <c r="G37" s="125">
        <v>11883</v>
      </c>
      <c r="H37" s="125">
        <f>SUM(H29:H35)</f>
        <v>13978</v>
      </c>
      <c r="I37" s="125">
        <v>12345</v>
      </c>
      <c r="J37" s="125">
        <f>SUM(J29:J36)</f>
        <v>13475</v>
      </c>
      <c r="K37" s="125">
        <f aca="true" t="shared" si="4" ref="K37:R37">SUM(K29:K36)</f>
        <v>13034.3</v>
      </c>
      <c r="L37" s="125">
        <f t="shared" si="4"/>
        <v>12900.9</v>
      </c>
      <c r="M37" s="125">
        <f t="shared" si="4"/>
        <v>11173.2</v>
      </c>
      <c r="N37" s="125">
        <f t="shared" si="4"/>
        <v>5788.6</v>
      </c>
      <c r="O37" s="125">
        <f t="shared" si="4"/>
        <v>8649.4</v>
      </c>
      <c r="P37" s="125">
        <f t="shared" si="4"/>
        <v>10817</v>
      </c>
      <c r="Q37" s="125">
        <f t="shared" si="4"/>
        <v>10552</v>
      </c>
      <c r="R37" s="125">
        <f t="shared" si="4"/>
        <v>9156</v>
      </c>
      <c r="S37" s="125">
        <f aca="true" t="shared" si="5" ref="S37:Y37">SUM(S29:S36)</f>
        <v>7512</v>
      </c>
      <c r="T37" s="125">
        <f t="shared" si="5"/>
        <v>9160</v>
      </c>
      <c r="U37" s="306">
        <f t="shared" si="5"/>
        <v>9217.3</v>
      </c>
      <c r="V37" s="307">
        <f t="shared" si="5"/>
        <v>13233.8</v>
      </c>
      <c r="W37" s="307">
        <f t="shared" si="5"/>
        <v>11991.7</v>
      </c>
      <c r="X37" s="307">
        <f t="shared" si="5"/>
        <v>12158.1</v>
      </c>
      <c r="Y37" s="362">
        <f t="shared" si="5"/>
        <v>3557.6000000000004</v>
      </c>
      <c r="Z37" s="362"/>
      <c r="AA37" s="362"/>
    </row>
    <row r="38" spans="1:27" ht="19.5" customHeight="1">
      <c r="A38" s="7" t="s">
        <v>30</v>
      </c>
      <c r="B38" s="8"/>
      <c r="C38" s="9"/>
      <c r="D38" s="6">
        <v>2428</v>
      </c>
      <c r="E38" s="6">
        <v>1961</v>
      </c>
      <c r="F38" s="5">
        <v>866</v>
      </c>
      <c r="G38" s="5">
        <v>763</v>
      </c>
      <c r="H38" s="5">
        <v>750</v>
      </c>
      <c r="I38" s="5">
        <v>750</v>
      </c>
      <c r="J38" s="5">
        <v>51</v>
      </c>
      <c r="K38" s="5">
        <v>0</v>
      </c>
      <c r="L38" s="9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215">
        <v>0</v>
      </c>
      <c r="S38" s="217">
        <v>0</v>
      </c>
      <c r="T38" s="217">
        <v>0</v>
      </c>
      <c r="U38" s="302">
        <v>0</v>
      </c>
      <c r="V38" s="303">
        <v>0</v>
      </c>
      <c r="W38" s="303">
        <v>0</v>
      </c>
      <c r="X38" s="303">
        <v>0</v>
      </c>
      <c r="Y38" s="303">
        <v>0</v>
      </c>
      <c r="Z38" s="303"/>
      <c r="AA38" s="303"/>
    </row>
    <row r="39" spans="1:27" ht="19.5" customHeight="1">
      <c r="A39" s="7" t="s">
        <v>31</v>
      </c>
      <c r="B39" s="8"/>
      <c r="C39" s="9"/>
      <c r="D39" s="6">
        <v>15250</v>
      </c>
      <c r="E39" s="6">
        <v>14154</v>
      </c>
      <c r="F39" s="6">
        <v>9499</v>
      </c>
      <c r="G39" s="6">
        <v>2066</v>
      </c>
      <c r="H39" s="5">
        <v>2000</v>
      </c>
      <c r="I39" s="5">
        <v>2000</v>
      </c>
      <c r="J39" s="5">
        <v>3621</v>
      </c>
      <c r="K39" s="5">
        <v>3249</v>
      </c>
      <c r="L39" s="95">
        <v>2798.5</v>
      </c>
      <c r="M39" s="33">
        <v>2113</v>
      </c>
      <c r="N39" s="5">
        <v>723</v>
      </c>
      <c r="O39" s="5">
        <v>871</v>
      </c>
      <c r="P39" s="5">
        <v>2459</v>
      </c>
      <c r="Q39" s="5">
        <v>2870</v>
      </c>
      <c r="R39" s="215">
        <v>2163</v>
      </c>
      <c r="S39" s="217">
        <v>1485</v>
      </c>
      <c r="T39" s="217">
        <v>1712</v>
      </c>
      <c r="U39" s="302">
        <v>1181.7</v>
      </c>
      <c r="V39" s="303">
        <v>1683.8</v>
      </c>
      <c r="W39" s="303">
        <v>2312.9</v>
      </c>
      <c r="X39" s="303">
        <v>2361.0800000000004</v>
      </c>
      <c r="Y39" s="303">
        <v>163.3</v>
      </c>
      <c r="Z39" s="303"/>
      <c r="AA39" s="303"/>
    </row>
    <row r="40" spans="1:27" ht="19.5" customHeight="1">
      <c r="A40" s="45" t="s">
        <v>93</v>
      </c>
      <c r="B40" s="8"/>
      <c r="C40" s="9"/>
      <c r="D40" s="6">
        <v>2806</v>
      </c>
      <c r="E40" s="6">
        <v>2813</v>
      </c>
      <c r="F40" s="6">
        <v>2617</v>
      </c>
      <c r="G40" s="6">
        <v>1751</v>
      </c>
      <c r="H40" s="5">
        <v>1848</v>
      </c>
      <c r="I40" s="5">
        <v>1704</v>
      </c>
      <c r="J40" s="390">
        <v>1724</v>
      </c>
      <c r="K40" s="390">
        <v>2136</v>
      </c>
      <c r="L40" s="398">
        <v>2278</v>
      </c>
      <c r="M40" s="390">
        <v>1551</v>
      </c>
      <c r="N40" s="398">
        <v>1079</v>
      </c>
      <c r="O40" s="390">
        <v>1081</v>
      </c>
      <c r="P40" s="390">
        <v>1122</v>
      </c>
      <c r="Q40" s="390">
        <v>902</v>
      </c>
      <c r="R40" s="392">
        <v>990</v>
      </c>
      <c r="S40" s="394">
        <v>870</v>
      </c>
      <c r="T40" s="394">
        <v>901</v>
      </c>
      <c r="U40" s="396">
        <v>764.9</v>
      </c>
      <c r="V40" s="388">
        <v>423.4</v>
      </c>
      <c r="W40" s="388">
        <v>472.7</v>
      </c>
      <c r="X40" s="388">
        <v>473.5</v>
      </c>
      <c r="Y40" s="388">
        <v>534</v>
      </c>
      <c r="Z40" s="388"/>
      <c r="AA40" s="388"/>
    </row>
    <row r="41" spans="1:27" ht="19.5" customHeight="1">
      <c r="A41" s="45" t="s">
        <v>92</v>
      </c>
      <c r="B41" s="8"/>
      <c r="C41" s="9"/>
      <c r="D41" s="6"/>
      <c r="E41" s="6"/>
      <c r="F41" s="6"/>
      <c r="G41" s="5"/>
      <c r="H41" s="5"/>
      <c r="I41" s="5"/>
      <c r="J41" s="391"/>
      <c r="K41" s="391"/>
      <c r="L41" s="399"/>
      <c r="M41" s="391"/>
      <c r="N41" s="399"/>
      <c r="O41" s="391"/>
      <c r="P41" s="391"/>
      <c r="Q41" s="391"/>
      <c r="R41" s="393"/>
      <c r="S41" s="395"/>
      <c r="T41" s="395"/>
      <c r="U41" s="397"/>
      <c r="V41" s="389"/>
      <c r="W41" s="389"/>
      <c r="X41" s="389"/>
      <c r="Y41" s="389"/>
      <c r="Z41" s="389"/>
      <c r="AA41" s="389"/>
    </row>
    <row r="42" spans="1:27" ht="19.5" customHeight="1">
      <c r="A42" s="7" t="s">
        <v>33</v>
      </c>
      <c r="B42" s="8"/>
      <c r="C42" s="9"/>
      <c r="D42" s="5"/>
      <c r="E42" s="5"/>
      <c r="F42" s="5"/>
      <c r="G42" s="5"/>
      <c r="H42" s="5"/>
      <c r="I42" s="5"/>
      <c r="J42" s="5">
        <v>0</v>
      </c>
      <c r="K42" s="5">
        <v>0</v>
      </c>
      <c r="L42" s="9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215">
        <v>0</v>
      </c>
      <c r="S42" s="217">
        <v>0</v>
      </c>
      <c r="T42" s="217">
        <v>0</v>
      </c>
      <c r="U42" s="302">
        <v>0</v>
      </c>
      <c r="V42" s="303">
        <v>0</v>
      </c>
      <c r="W42" s="303">
        <v>0</v>
      </c>
      <c r="X42" s="303">
        <v>0</v>
      </c>
      <c r="Y42" s="363">
        <v>0</v>
      </c>
      <c r="Z42" s="303"/>
      <c r="AA42" s="363"/>
    </row>
    <row r="43" spans="1:27" ht="19.5" customHeight="1">
      <c r="A43" s="7" t="s">
        <v>34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95">
        <v>0</v>
      </c>
      <c r="M43" s="5">
        <v>0</v>
      </c>
      <c r="N43" s="5">
        <v>14108</v>
      </c>
      <c r="O43" s="5">
        <v>14358</v>
      </c>
      <c r="P43" s="5">
        <v>14863</v>
      </c>
      <c r="Q43" s="5">
        <v>15097</v>
      </c>
      <c r="R43" s="215">
        <v>14944</v>
      </c>
      <c r="S43" s="217">
        <v>14509</v>
      </c>
      <c r="T43" s="217">
        <v>14189</v>
      </c>
      <c r="U43" s="309">
        <v>3443</v>
      </c>
      <c r="V43" s="309">
        <v>3335</v>
      </c>
      <c r="W43" s="309"/>
      <c r="X43" s="309">
        <v>3843</v>
      </c>
      <c r="Y43" s="309">
        <v>3843</v>
      </c>
      <c r="Z43" s="309"/>
      <c r="AA43" s="309"/>
    </row>
    <row r="44" spans="1:27" ht="19.5" customHeight="1">
      <c r="A44" s="7" t="s">
        <v>35</v>
      </c>
      <c r="B44" s="8"/>
      <c r="C44" s="9"/>
      <c r="D44" s="5"/>
      <c r="E44" s="5"/>
      <c r="F44" s="5"/>
      <c r="G44" s="5"/>
      <c r="H44" s="5">
        <v>1058</v>
      </c>
      <c r="I44" s="5">
        <v>535</v>
      </c>
      <c r="J44" s="5"/>
      <c r="K44" s="5"/>
      <c r="L44" s="95"/>
      <c r="M44" s="5"/>
      <c r="N44" s="5"/>
      <c r="O44" s="5"/>
      <c r="P44" s="5"/>
      <c r="Q44" s="5"/>
      <c r="R44" s="215"/>
      <c r="S44" s="217"/>
      <c r="T44" s="217"/>
      <c r="U44" s="302"/>
      <c r="V44" s="303"/>
      <c r="W44" s="303"/>
      <c r="X44" s="303"/>
      <c r="Y44" s="363"/>
      <c r="Z44" s="303"/>
      <c r="AA44" s="363"/>
    </row>
    <row r="45" spans="1:27" ht="19.5" customHeight="1">
      <c r="A45" s="7" t="s">
        <v>36</v>
      </c>
      <c r="B45" s="8"/>
      <c r="C45" s="9"/>
      <c r="D45" s="5">
        <v>35</v>
      </c>
      <c r="E45" s="5">
        <v>19</v>
      </c>
      <c r="F45" s="5">
        <v>384</v>
      </c>
      <c r="G45" s="5">
        <v>303</v>
      </c>
      <c r="H45" s="5">
        <v>48</v>
      </c>
      <c r="I45" s="5">
        <v>32</v>
      </c>
      <c r="J45" s="5">
        <v>0</v>
      </c>
      <c r="K45" s="5">
        <v>25</v>
      </c>
      <c r="L45" s="95">
        <v>39</v>
      </c>
      <c r="M45" s="5">
        <v>27</v>
      </c>
      <c r="N45" s="5">
        <v>32</v>
      </c>
      <c r="O45" s="5">
        <v>30</v>
      </c>
      <c r="P45" s="5">
        <v>0</v>
      </c>
      <c r="Q45" s="5">
        <v>25</v>
      </c>
      <c r="R45" s="215">
        <v>25</v>
      </c>
      <c r="S45" s="217">
        <v>39</v>
      </c>
      <c r="T45" s="217">
        <v>40</v>
      </c>
      <c r="U45" s="302">
        <v>0</v>
      </c>
      <c r="V45" s="303">
        <v>19.7</v>
      </c>
      <c r="W45" s="303">
        <v>28</v>
      </c>
      <c r="X45" s="303">
        <v>26</v>
      </c>
      <c r="Y45" s="303">
        <v>28</v>
      </c>
      <c r="Z45" s="303"/>
      <c r="AA45" s="303"/>
    </row>
    <row r="46" spans="1:27" ht="19.5" customHeight="1">
      <c r="A46" s="7" t="s">
        <v>37</v>
      </c>
      <c r="B46" s="8"/>
      <c r="C46" s="9"/>
      <c r="D46" s="5"/>
      <c r="E46" s="5"/>
      <c r="F46" s="5">
        <v>272</v>
      </c>
      <c r="G46" s="5">
        <v>768</v>
      </c>
      <c r="H46" s="5"/>
      <c r="I46" s="6"/>
      <c r="J46" s="6">
        <v>613</v>
      </c>
      <c r="K46" s="6">
        <v>523</v>
      </c>
      <c r="L46" s="95">
        <v>762</v>
      </c>
      <c r="M46" s="5">
        <v>612</v>
      </c>
      <c r="N46" s="5">
        <v>549</v>
      </c>
      <c r="O46" s="5">
        <v>467</v>
      </c>
      <c r="P46" s="5">
        <v>556</v>
      </c>
      <c r="Q46" s="5">
        <v>401</v>
      </c>
      <c r="R46" s="215">
        <v>369</v>
      </c>
      <c r="S46" s="217">
        <v>454</v>
      </c>
      <c r="T46" s="217">
        <v>473</v>
      </c>
      <c r="U46" s="302">
        <v>415</v>
      </c>
      <c r="V46" s="303">
        <v>425.22</v>
      </c>
      <c r="W46" s="303">
        <v>687.8</v>
      </c>
      <c r="X46" s="303">
        <v>573.87</v>
      </c>
      <c r="Y46" s="303">
        <v>424.7</v>
      </c>
      <c r="Z46" s="303"/>
      <c r="AA46" s="303"/>
    </row>
    <row r="47" spans="1:27" ht="19.5" customHeight="1">
      <c r="A47" s="13" t="s">
        <v>38</v>
      </c>
      <c r="B47" s="14"/>
      <c r="C47" s="15"/>
      <c r="D47" s="125">
        <v>162777</v>
      </c>
      <c r="E47" s="125">
        <v>160691</v>
      </c>
      <c r="F47" s="125">
        <v>143537</v>
      </c>
      <c r="G47" s="125">
        <v>128198</v>
      </c>
      <c r="H47" s="125">
        <v>112552</v>
      </c>
      <c r="I47" s="125">
        <v>108808</v>
      </c>
      <c r="J47" s="125">
        <f>SUM(J16+J28+J37+J38+J39+J40+J42+J43+J44+J45+J46)</f>
        <v>99344.2</v>
      </c>
      <c r="K47" s="125">
        <f aca="true" t="shared" si="6" ref="K47:T47">SUM(K16+K28+K37+K38+K39+K40+K42+K43+K44+K45+K46)</f>
        <v>102050.1</v>
      </c>
      <c r="L47" s="125">
        <f t="shared" si="6"/>
        <v>98037.14509803921</v>
      </c>
      <c r="M47" s="125">
        <f t="shared" si="6"/>
        <v>88575.8</v>
      </c>
      <c r="N47" s="125">
        <f t="shared" si="6"/>
        <v>89358.40000000001</v>
      </c>
      <c r="O47" s="125">
        <f t="shared" si="6"/>
        <v>103660.79999999999</v>
      </c>
      <c r="P47" s="125">
        <f t="shared" si="6"/>
        <v>106374</v>
      </c>
      <c r="Q47" s="125">
        <f t="shared" si="6"/>
        <v>103229</v>
      </c>
      <c r="R47" s="125">
        <f t="shared" si="6"/>
        <v>97494.8</v>
      </c>
      <c r="S47" s="125">
        <f t="shared" si="6"/>
        <v>104026.7</v>
      </c>
      <c r="T47" s="125">
        <f t="shared" si="6"/>
        <v>112485</v>
      </c>
      <c r="U47" s="306">
        <f>SUM(U16+U28+U37+U38+U39+U40+U42+U43+U44+U45+U46)</f>
        <v>103296.27999999998</v>
      </c>
      <c r="V47" s="307">
        <f>SUM(V16+V28+V37+V38+V39+V40+V42+V43+V44+V45+V46)</f>
        <v>97434.16</v>
      </c>
      <c r="W47" s="307">
        <f>SUM(W16+W28+W37+W38+W39+W40+W42+W43+W44+W45+W46)</f>
        <v>91212.54</v>
      </c>
      <c r="X47" s="307">
        <f>SUM(X16+X28+X37+X38+X39+X40+X42+X43+X44+X45+X46)</f>
        <v>96784.73999999999</v>
      </c>
      <c r="Y47" s="362">
        <f>SUM(Y16+Y28+Y37+Y38+Y39+Y40+Y42+Y43+Y44+Y45+Y46)</f>
        <v>81813.94000000002</v>
      </c>
      <c r="Z47" s="362"/>
      <c r="AA47" s="362"/>
    </row>
    <row r="48" ht="12.75">
      <c r="F48" t="s">
        <v>39</v>
      </c>
    </row>
    <row r="49" ht="12.75">
      <c r="K49" s="33"/>
    </row>
    <row r="50" ht="12.75">
      <c r="J50" s="33"/>
    </row>
  </sheetData>
  <sheetProtection/>
  <mergeCells count="19">
    <mergeCell ref="AA40:AA41"/>
    <mergeCell ref="Z40:Z41"/>
    <mergeCell ref="Y40:Y41"/>
    <mergeCell ref="O40:O41"/>
    <mergeCell ref="A2:I2"/>
    <mergeCell ref="J40:J41"/>
    <mergeCell ref="K40:K41"/>
    <mergeCell ref="L40:L41"/>
    <mergeCell ref="M40:M41"/>
    <mergeCell ref="N40:N41"/>
    <mergeCell ref="X40:X41"/>
    <mergeCell ref="P40:P41"/>
    <mergeCell ref="Q40:Q41"/>
    <mergeCell ref="R40:R41"/>
    <mergeCell ref="S40:S41"/>
    <mergeCell ref="T40:T41"/>
    <mergeCell ref="W40:W41"/>
    <mergeCell ref="V40:V41"/>
    <mergeCell ref="U40:U41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Gayraud</cp:lastModifiedBy>
  <cp:lastPrinted>2017-05-22T13:20:40Z</cp:lastPrinted>
  <dcterms:created xsi:type="dcterms:W3CDTF">1999-05-20T13:22:43Z</dcterms:created>
  <dcterms:modified xsi:type="dcterms:W3CDTF">2018-06-11T06:52:50Z</dcterms:modified>
  <cp:category/>
  <cp:version/>
  <cp:contentType/>
  <cp:contentStatus/>
</cp:coreProperties>
</file>