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1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drawings/drawing27.xml" ContentType="application/vnd.openxmlformats-officedocument.drawing+xml"/>
  <Override PartName="/xl/charts/chart16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8.xml" ContentType="application/vnd.openxmlformats-officedocument.drawingml.chart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drawings/drawing35.xml" ContentType="application/vnd.openxmlformats-officedocument.drawingml.chartshapes+xml"/>
  <Override PartName="/xl/drawings/drawing36.xml" ContentType="application/vnd.openxmlformats-officedocument.drawing+xml"/>
  <Override PartName="/xl/charts/chart21.xml" ContentType="application/vnd.openxmlformats-officedocument.drawingml.chart+xml"/>
  <Override PartName="/xl/drawings/drawing37.xml" ContentType="application/vnd.openxmlformats-officedocument.drawing+xml"/>
  <Override PartName="/xl/charts/chart22.xml" ContentType="application/vnd.openxmlformats-officedocument.drawingml.chart+xml"/>
  <Override PartName="/xl/drawings/drawing38.xml" ContentType="application/vnd.openxmlformats-officedocument.drawing+xml"/>
  <Override PartName="/xl/charts/chart23.xml" ContentType="application/vnd.openxmlformats-officedocument.drawingml.chart+xml"/>
  <Override PartName="/xl/drawings/drawing39.xml" ContentType="application/vnd.openxmlformats-officedocument.drawing+xml"/>
  <Override PartName="/xl/charts/chart24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5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44.xml" ContentType="application/vnd.openxmlformats-officedocument.drawing+xml"/>
  <Override PartName="/xl/charts/chart28.xml" ContentType="application/vnd.openxmlformats-officedocument.drawingml.chart+xml"/>
  <Override PartName="/xl/drawings/drawing45.xml" ContentType="application/vnd.openxmlformats-officedocument.drawing+xml"/>
  <Override PartName="/xl/charts/chart2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 tabRatio="952" firstSheet="2" activeTab="2"/>
  </bookViews>
  <sheets>
    <sheet name="Graph1" sheetId="22" state="hidden" r:id="rId1"/>
    <sheet name="Feuil1" sheetId="21" state="hidden" r:id="rId2"/>
    <sheet name="Belgium" sheetId="1" r:id="rId3"/>
    <sheet name="Denmark" sheetId="17" r:id="rId4"/>
    <sheet name="Finland" sheetId="8" r:id="rId5"/>
    <sheet name="France" sheetId="4" r:id="rId6"/>
    <sheet name="Germany" sheetId="2" r:id="rId7"/>
    <sheet name="Italy" sheetId="18" r:id="rId8"/>
    <sheet name="Sweden" sheetId="7" r:id="rId9"/>
    <sheet name="UK" sheetId="19" r:id="rId10"/>
    <sheet name="Pays-Bas" sheetId="6" r:id="rId11"/>
    <sheet name="Rep Tcheque" sheetId="53" r:id="rId12"/>
    <sheet name="Pologne" sheetId="54" r:id="rId13"/>
    <sheet name="données" sheetId="12" r:id="rId14"/>
    <sheet name="w wheat" sheetId="23" r:id="rId15"/>
    <sheet name="d wheat" sheetId="24" r:id="rId16"/>
    <sheet name="w barley" sheetId="25" r:id="rId17"/>
    <sheet name="s barley" sheetId="26" r:id="rId18"/>
    <sheet name="tritical" sheetId="27" r:id="rId19"/>
    <sheet name="rye" sheetId="28" r:id="rId20"/>
    <sheet name="sugar beet" sheetId="29" r:id="rId21"/>
    <sheet name="vegetable seed" sheetId="30" r:id="rId22"/>
    <sheet name="cocksfoot" sheetId="31" r:id="rId23"/>
    <sheet name="phleum" sheetId="32" r:id="rId24"/>
    <sheet name="red fescue " sheetId="44" r:id="rId25"/>
    <sheet name="bluegrass" sheetId="33" r:id="rId26"/>
    <sheet name="meadow fescue" sheetId="35" r:id="rId27"/>
    <sheet name="tall fescue" sheetId="36" r:id="rId28"/>
    <sheet name="sheep fescue" sheetId="37" r:id="rId29"/>
    <sheet name="perenial ryegrass" sheetId="38" r:id="rId30"/>
    <sheet name="perenial ryegrass (2)" sheetId="45" r:id="rId31"/>
    <sheet name="hybrid ryegrass" sheetId="39" r:id="rId32"/>
    <sheet name="italian ryegrass" sheetId="40" r:id="rId33"/>
    <sheet name="italian ryegrass (2)" sheetId="46" r:id="rId34"/>
    <sheet name="red clover" sheetId="41" r:id="rId35"/>
    <sheet name="white clover" sheetId="42" r:id="rId36"/>
    <sheet name="alfalfa" sheetId="43" r:id="rId37"/>
    <sheet name="rape" sheetId="47" r:id="rId38"/>
    <sheet name="eu27" sheetId="13" state="hidden" r:id="rId39"/>
    <sheet name="Graph leg EU 27" sheetId="50" state="hidden" r:id="rId40"/>
    <sheet name="Graph gram EU 27" sheetId="49" state="hidden" r:id="rId41"/>
    <sheet name="Poland" sheetId="11" state="hidden" r:id="rId42"/>
  </sheets>
  <definedNames>
    <definedName name="_xlnm.Print_Area" localSheetId="6">Germany!$A$1:$AA$47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7" i="19" l="1"/>
  <c r="AC37" i="19"/>
  <c r="AD28" i="19"/>
  <c r="AC28" i="19"/>
  <c r="AD16" i="19"/>
  <c r="AD47" i="19" s="1"/>
  <c r="AC16" i="19"/>
  <c r="AC47" i="19" s="1"/>
  <c r="AD37" i="8"/>
  <c r="AC37" i="8"/>
  <c r="AD28" i="8"/>
  <c r="AC28" i="8"/>
  <c r="AD16" i="8"/>
  <c r="AD47" i="8" s="1"/>
  <c r="AC16" i="8"/>
  <c r="AC47" i="8" s="1"/>
  <c r="AC47" i="2"/>
  <c r="AC39" i="2"/>
  <c r="AC29" i="2"/>
  <c r="AC17" i="2"/>
  <c r="AB2" i="12"/>
  <c r="AB3" i="12"/>
  <c r="AB4" i="12"/>
  <c r="AB5" i="12"/>
  <c r="AB6" i="12"/>
  <c r="AB7" i="12"/>
  <c r="AB8" i="12"/>
  <c r="AB13" i="12"/>
  <c r="AB14" i="12"/>
  <c r="AB15" i="12"/>
  <c r="AB19" i="12"/>
  <c r="AB20" i="12"/>
  <c r="AB21" i="12"/>
  <c r="AB22" i="12"/>
  <c r="AB23" i="12"/>
  <c r="AB24" i="12"/>
  <c r="AB28" i="12"/>
  <c r="AB29" i="12"/>
  <c r="AB30" i="12"/>
  <c r="AB31" i="12"/>
  <c r="AB32" i="12"/>
  <c r="AB36" i="12"/>
  <c r="AB37" i="12"/>
  <c r="AB38" i="12"/>
  <c r="AB39" i="12"/>
  <c r="AB40" i="12"/>
  <c r="AB42" i="12"/>
  <c r="AB46" i="12"/>
  <c r="AB47" i="12"/>
  <c r="AB48" i="12"/>
  <c r="AB49" i="12"/>
  <c r="AB50" i="12"/>
  <c r="AB51" i="12"/>
  <c r="AB52" i="12"/>
  <c r="AB56" i="12"/>
  <c r="AB57" i="12"/>
  <c r="AB61" i="12"/>
  <c r="AB62" i="12"/>
  <c r="AB63" i="12"/>
  <c r="AB67" i="12"/>
  <c r="AB68" i="12"/>
  <c r="AB69" i="12"/>
  <c r="AB70" i="12"/>
  <c r="AB71" i="12"/>
  <c r="AB72" i="12"/>
  <c r="AB77" i="12"/>
  <c r="AB78" i="12"/>
  <c r="AB79" i="12"/>
  <c r="AB80" i="12"/>
  <c r="AB84" i="12"/>
  <c r="AB85" i="12"/>
  <c r="AB86" i="12"/>
  <c r="AB88" i="12"/>
  <c r="AB89" i="12"/>
  <c r="AB93" i="12"/>
  <c r="AB94" i="12"/>
  <c r="AB95" i="12"/>
  <c r="AB96" i="12"/>
  <c r="AB98" i="12"/>
  <c r="AB99" i="12"/>
  <c r="AB103" i="12"/>
  <c r="AB104" i="12"/>
  <c r="AB105" i="12"/>
  <c r="AB106" i="12"/>
  <c r="AB110" i="12"/>
  <c r="AB111" i="12"/>
  <c r="AB113" i="12"/>
  <c r="AB114" i="12"/>
  <c r="AB117" i="12"/>
  <c r="AB118" i="12"/>
  <c r="AB119" i="12"/>
  <c r="AB124" i="12"/>
  <c r="AB125" i="12"/>
  <c r="AB126" i="12"/>
  <c r="AB127" i="12"/>
  <c r="AB129" i="12"/>
  <c r="AB130" i="12"/>
  <c r="AB134" i="12"/>
  <c r="AB135" i="12"/>
  <c r="AB136" i="12"/>
  <c r="AB138" i="12"/>
  <c r="AB139" i="12"/>
  <c r="AB143" i="12"/>
  <c r="AB144" i="12"/>
  <c r="AB145" i="12"/>
  <c r="AB146" i="12"/>
  <c r="AB147" i="12"/>
  <c r="AB149" i="12"/>
  <c r="AB153" i="12"/>
  <c r="AB154" i="12"/>
  <c r="AB155" i="12"/>
  <c r="AB156" i="12"/>
  <c r="AB157" i="12"/>
  <c r="AB158" i="12"/>
  <c r="AB162" i="12"/>
  <c r="AB163" i="12"/>
  <c r="AB164" i="12"/>
  <c r="AB165" i="12"/>
  <c r="AB168" i="12"/>
  <c r="AB169" i="12"/>
  <c r="AB172" i="12"/>
  <c r="AB173" i="12"/>
  <c r="AB174" i="12"/>
  <c r="AB175" i="12"/>
  <c r="AB176" i="12"/>
  <c r="AB177" i="12"/>
  <c r="AB178" i="12"/>
  <c r="AB179" i="12"/>
  <c r="AC41" i="7"/>
  <c r="AC36" i="7"/>
  <c r="AC33" i="7"/>
  <c r="AC11" i="7"/>
  <c r="AC10" i="7"/>
  <c r="AC7" i="7"/>
  <c r="AC6" i="7"/>
  <c r="AD16" i="7"/>
  <c r="AD28" i="7"/>
  <c r="AD37" i="7"/>
  <c r="AC48" i="18"/>
  <c r="AD48" i="18"/>
  <c r="AC14" i="18"/>
  <c r="AD16" i="18"/>
  <c r="AD26" i="18"/>
  <c r="AD38" i="18"/>
  <c r="AD16" i="17"/>
  <c r="AD28" i="17"/>
  <c r="AD37" i="17"/>
  <c r="AC46" i="1"/>
  <c r="AD16" i="1"/>
  <c r="AD46" i="1" s="1"/>
  <c r="AD27" i="1"/>
  <c r="AD36" i="1"/>
  <c r="AD17" i="4"/>
  <c r="AD29" i="4"/>
  <c r="AD38" i="4"/>
  <c r="AB47" i="2"/>
  <c r="P39" i="2"/>
  <c r="Q39" i="2"/>
  <c r="R39" i="2"/>
  <c r="S39" i="2"/>
  <c r="T39" i="2"/>
  <c r="U39" i="2"/>
  <c r="V39" i="2"/>
  <c r="W39" i="2"/>
  <c r="X39" i="2"/>
  <c r="Y39" i="2"/>
  <c r="Z39" i="2"/>
  <c r="AB39" i="2"/>
  <c r="AA39" i="2"/>
  <c r="AB17" i="2"/>
  <c r="AA17" i="2"/>
  <c r="AB29" i="2"/>
  <c r="AD46" i="7" l="1"/>
  <c r="AD49" i="18"/>
  <c r="AD47" i="17"/>
  <c r="AD49" i="4"/>
  <c r="AB16" i="19" l="1"/>
  <c r="AB28" i="19"/>
  <c r="AB37" i="19"/>
  <c r="AB47" i="19" l="1"/>
  <c r="AA16" i="19" l="1"/>
  <c r="AC29" i="4"/>
  <c r="AC37" i="7"/>
  <c r="AB37" i="7"/>
  <c r="AC28" i="7"/>
  <c r="AB28" i="7"/>
  <c r="AC16" i="7"/>
  <c r="AB16" i="7"/>
  <c r="AC46" i="7" l="1"/>
  <c r="AB47" i="18"/>
  <c r="AB46" i="18"/>
  <c r="AB32" i="18"/>
  <c r="AC16" i="18"/>
  <c r="AC26" i="18"/>
  <c r="AC38" i="18"/>
  <c r="AB25" i="18"/>
  <c r="AB15" i="18"/>
  <c r="AC49" i="18" l="1"/>
  <c r="AA37" i="17" l="1"/>
  <c r="AA28" i="17"/>
  <c r="AA16" i="17"/>
  <c r="AC37" i="17"/>
  <c r="AB37" i="17"/>
  <c r="AC28" i="17"/>
  <c r="AB28" i="17"/>
  <c r="AC16" i="17"/>
  <c r="AB16" i="17"/>
  <c r="AB47" i="17" s="1"/>
  <c r="AC47" i="17" l="1"/>
  <c r="AC16" i="1"/>
  <c r="AC36" i="1"/>
  <c r="AB36" i="1"/>
  <c r="AC27" i="1"/>
  <c r="AB27" i="1"/>
  <c r="AB16" i="1"/>
  <c r="AB46" i="1" s="1"/>
  <c r="AC87" i="12" l="1"/>
  <c r="AC97" i="12"/>
  <c r="AC112" i="12"/>
  <c r="AC120" i="12"/>
  <c r="AC128" i="12"/>
  <c r="AC137" i="12"/>
  <c r="AC148" i="12"/>
  <c r="AC41" i="12"/>
  <c r="AC9" i="12"/>
  <c r="Z2" i="12"/>
  <c r="Z3" i="12"/>
  <c r="Z4" i="12"/>
  <c r="Z5" i="12"/>
  <c r="Z6" i="12"/>
  <c r="Z7" i="12"/>
  <c r="Z8" i="12"/>
  <c r="Z13" i="12"/>
  <c r="Z14" i="12"/>
  <c r="Z15" i="12"/>
  <c r="Z19" i="12"/>
  <c r="Z20" i="12"/>
  <c r="Z21" i="12"/>
  <c r="Z22" i="12"/>
  <c r="Z23" i="12"/>
  <c r="Z24" i="12"/>
  <c r="Z28" i="12"/>
  <c r="Z29" i="12"/>
  <c r="Z30" i="12"/>
  <c r="Z31" i="12"/>
  <c r="Z32" i="12"/>
  <c r="Z36" i="12"/>
  <c r="Z37" i="12"/>
  <c r="Z38" i="12"/>
  <c r="Z39" i="12"/>
  <c r="Z40" i="12"/>
  <c r="Z42" i="12"/>
  <c r="Z46" i="12"/>
  <c r="Z47" i="12"/>
  <c r="Z48" i="12"/>
  <c r="Z49" i="12"/>
  <c r="Z50" i="12"/>
  <c r="Z51" i="12"/>
  <c r="Z52" i="12"/>
  <c r="Z56" i="12"/>
  <c r="Z57" i="12"/>
  <c r="Z61" i="12"/>
  <c r="Z62" i="12"/>
  <c r="Z63" i="12"/>
  <c r="Z67" i="12"/>
  <c r="Z68" i="12"/>
  <c r="Z69" i="12"/>
  <c r="Z70" i="12"/>
  <c r="Z71" i="12"/>
  <c r="Z72" i="12"/>
  <c r="Z77" i="12"/>
  <c r="Z78" i="12"/>
  <c r="Z79" i="12"/>
  <c r="Z80" i="12"/>
  <c r="Z84" i="12"/>
  <c r="Z85" i="12"/>
  <c r="Z86" i="12"/>
  <c r="Z88" i="12"/>
  <c r="Z89" i="12"/>
  <c r="Z93" i="12"/>
  <c r="Z94" i="12"/>
  <c r="Z95" i="12"/>
  <c r="Z96" i="12"/>
  <c r="Z98" i="12"/>
  <c r="Z99" i="12"/>
  <c r="Z103" i="12"/>
  <c r="Z104" i="12"/>
  <c r="Z105" i="12"/>
  <c r="Z106" i="12"/>
  <c r="Z110" i="12"/>
  <c r="Z111" i="12"/>
  <c r="Z113" i="12"/>
  <c r="Z114" i="12"/>
  <c r="Z117" i="12"/>
  <c r="Z118" i="12"/>
  <c r="Z119" i="12"/>
  <c r="Z124" i="12"/>
  <c r="Z125" i="12"/>
  <c r="Z126" i="12"/>
  <c r="Z127" i="12"/>
  <c r="Z129" i="12"/>
  <c r="Z130" i="12"/>
  <c r="Z134" i="12"/>
  <c r="Z135" i="12"/>
  <c r="Z136" i="12"/>
  <c r="Z138" i="12"/>
  <c r="Z139" i="12"/>
  <c r="Z143" i="12"/>
  <c r="Z144" i="12"/>
  <c r="Z145" i="12"/>
  <c r="Z146" i="12"/>
  <c r="Z147" i="12"/>
  <c r="Z149" i="12"/>
  <c r="Z153" i="12"/>
  <c r="Z154" i="12"/>
  <c r="Z155" i="12"/>
  <c r="Z156" i="12"/>
  <c r="Z157" i="12"/>
  <c r="Z158" i="12"/>
  <c r="Z162" i="12"/>
  <c r="Z163" i="12"/>
  <c r="Z164" i="12"/>
  <c r="Z165" i="12"/>
  <c r="Z168" i="12"/>
  <c r="Z169" i="12"/>
  <c r="Z172" i="12"/>
  <c r="Z173" i="12"/>
  <c r="Z174" i="12"/>
  <c r="Z175" i="12"/>
  <c r="Z176" i="12"/>
  <c r="Z177" i="12"/>
  <c r="Z178" i="12"/>
  <c r="Z179" i="12"/>
  <c r="AA2" i="12"/>
  <c r="AA3" i="12"/>
  <c r="AA4" i="12"/>
  <c r="AA5" i="12"/>
  <c r="AA6" i="12"/>
  <c r="AA7" i="12"/>
  <c r="AA8" i="12"/>
  <c r="AA13" i="12"/>
  <c r="AA14" i="12"/>
  <c r="AA15" i="12"/>
  <c r="AA19" i="12"/>
  <c r="AA20" i="12"/>
  <c r="AA21" i="12"/>
  <c r="AA22" i="12"/>
  <c r="AA23" i="12"/>
  <c r="AA24" i="12"/>
  <c r="AA28" i="12"/>
  <c r="AA29" i="12"/>
  <c r="AA30" i="12"/>
  <c r="AA31" i="12"/>
  <c r="AA32" i="12"/>
  <c r="AA36" i="12"/>
  <c r="AA37" i="12"/>
  <c r="AA38" i="12"/>
  <c r="AA39" i="12"/>
  <c r="AA40" i="12"/>
  <c r="AA42" i="12"/>
  <c r="AA46" i="12"/>
  <c r="AA47" i="12"/>
  <c r="AA48" i="12"/>
  <c r="AA49" i="12"/>
  <c r="AA50" i="12"/>
  <c r="AA51" i="12"/>
  <c r="AA52" i="12"/>
  <c r="AA56" i="12"/>
  <c r="AA57" i="12"/>
  <c r="AA61" i="12"/>
  <c r="AA62" i="12"/>
  <c r="AA63" i="12"/>
  <c r="AA67" i="12"/>
  <c r="AA68" i="12"/>
  <c r="AA69" i="12"/>
  <c r="AA70" i="12"/>
  <c r="AA71" i="12"/>
  <c r="AA72" i="12"/>
  <c r="AA77" i="12"/>
  <c r="AA78" i="12"/>
  <c r="AA79" i="12"/>
  <c r="AA80" i="12"/>
  <c r="AA84" i="12"/>
  <c r="AA85" i="12"/>
  <c r="AA86" i="12"/>
  <c r="AA88" i="12"/>
  <c r="AA89" i="12"/>
  <c r="AA93" i="12"/>
  <c r="AA94" i="12"/>
  <c r="AA95" i="12"/>
  <c r="AA96" i="12"/>
  <c r="AA98" i="12"/>
  <c r="AA99" i="12"/>
  <c r="AA103" i="12"/>
  <c r="AA104" i="12"/>
  <c r="AA105" i="12"/>
  <c r="AA106" i="12"/>
  <c r="AA110" i="12"/>
  <c r="AA111" i="12"/>
  <c r="AA113" i="12"/>
  <c r="AA114" i="12"/>
  <c r="AA117" i="12"/>
  <c r="AA118" i="12"/>
  <c r="AA119" i="12"/>
  <c r="AA124" i="12"/>
  <c r="AA125" i="12"/>
  <c r="AA126" i="12"/>
  <c r="AA127" i="12"/>
  <c r="AA129" i="12"/>
  <c r="AA130" i="12"/>
  <c r="AA134" i="12"/>
  <c r="AA135" i="12"/>
  <c r="AA136" i="12"/>
  <c r="AA138" i="12"/>
  <c r="AA139" i="12"/>
  <c r="AA143" i="12"/>
  <c r="AA144" i="12"/>
  <c r="AA145" i="12"/>
  <c r="AA146" i="12"/>
  <c r="AA147" i="12"/>
  <c r="AA149" i="12"/>
  <c r="AA153" i="12"/>
  <c r="AA154" i="12"/>
  <c r="AA155" i="12"/>
  <c r="AA156" i="12"/>
  <c r="AA157" i="12"/>
  <c r="AA158" i="12"/>
  <c r="AA162" i="12"/>
  <c r="AA163" i="12"/>
  <c r="AA164" i="12"/>
  <c r="AA165" i="12"/>
  <c r="AA168" i="12"/>
  <c r="AA169" i="12"/>
  <c r="AA172" i="12"/>
  <c r="AA173" i="12"/>
  <c r="AA174" i="12"/>
  <c r="AA175" i="12"/>
  <c r="AA176" i="12"/>
  <c r="AA177" i="12"/>
  <c r="AA178" i="12"/>
  <c r="AA179" i="12"/>
  <c r="AC17" i="4" l="1"/>
  <c r="AC38" i="4"/>
  <c r="AB38" i="4"/>
  <c r="AB29" i="4"/>
  <c r="AB17" i="4"/>
  <c r="AC49" i="4" l="1"/>
  <c r="AB49" i="4"/>
  <c r="J16" i="18"/>
  <c r="K16" i="18"/>
  <c r="L16" i="18"/>
  <c r="M16" i="18"/>
  <c r="N16" i="18"/>
  <c r="O16" i="18"/>
  <c r="P16" i="18"/>
  <c r="Q16" i="18"/>
  <c r="R16" i="18"/>
  <c r="S16" i="18"/>
  <c r="T16" i="18"/>
  <c r="U16" i="18"/>
  <c r="V16" i="18"/>
  <c r="W16" i="18"/>
  <c r="X16" i="18"/>
  <c r="Y16" i="18"/>
  <c r="AA16" i="18"/>
  <c r="AB16" i="18"/>
  <c r="Z16" i="18"/>
  <c r="AA47" i="18"/>
  <c r="AA46" i="18"/>
  <c r="AA37" i="18"/>
  <c r="AA35" i="18"/>
  <c r="AA32" i="18"/>
  <c r="AA25" i="18"/>
  <c r="AB26" i="18"/>
  <c r="AB38" i="18"/>
  <c r="AB48" i="18"/>
  <c r="AA15" i="18"/>
  <c r="AA7" i="18"/>
  <c r="AB46" i="7" l="1"/>
  <c r="AB49" i="18"/>
  <c r="AB16" i="8"/>
  <c r="AB28" i="8"/>
  <c r="AB37" i="8"/>
  <c r="AB47" i="8" l="1"/>
  <c r="AA7" i="1" l="1"/>
  <c r="AA47" i="17" l="1"/>
  <c r="Q165" i="12"/>
  <c r="R165" i="12"/>
  <c r="S165" i="12"/>
  <c r="T165" i="12"/>
  <c r="U165" i="12"/>
  <c r="V165" i="12"/>
  <c r="W165" i="12"/>
  <c r="X165" i="12"/>
  <c r="Y165" i="12"/>
  <c r="AC165" i="12" s="1"/>
  <c r="R119" i="12"/>
  <c r="S119" i="12"/>
  <c r="T119" i="12"/>
  <c r="U119" i="12"/>
  <c r="V119" i="12"/>
  <c r="W119" i="12"/>
  <c r="X119" i="12"/>
  <c r="Y119" i="12"/>
  <c r="AC119" i="12" s="1"/>
  <c r="Y7" i="12"/>
  <c r="AC7" i="12" s="1"/>
  <c r="Y6" i="12"/>
  <c r="AC6" i="12" s="1"/>
  <c r="AA37" i="19"/>
  <c r="AA28" i="19"/>
  <c r="AA47" i="19" s="1"/>
  <c r="T48" i="18"/>
  <c r="U48" i="18"/>
  <c r="V48" i="18"/>
  <c r="W48" i="18"/>
  <c r="X48" i="18"/>
  <c r="Y48" i="18"/>
  <c r="Z48" i="18"/>
  <c r="AA48" i="18"/>
  <c r="T38" i="18"/>
  <c r="U38" i="18"/>
  <c r="U49" i="18" s="1"/>
  <c r="V38" i="18"/>
  <c r="W38" i="18"/>
  <c r="X38" i="18"/>
  <c r="Y38" i="18"/>
  <c r="Y49" i="18" s="1"/>
  <c r="Z38" i="18"/>
  <c r="AA38" i="18"/>
  <c r="V49" i="18"/>
  <c r="Z49" i="18"/>
  <c r="S26" i="18"/>
  <c r="T26" i="18"/>
  <c r="T49" i="18" s="1"/>
  <c r="U26" i="18"/>
  <c r="V26" i="18"/>
  <c r="W26" i="18"/>
  <c r="W49" i="18" s="1"/>
  <c r="X26" i="18"/>
  <c r="X49" i="18" s="1"/>
  <c r="Y26" i="18"/>
  <c r="Z26" i="18"/>
  <c r="AA26" i="18"/>
  <c r="AA16" i="1"/>
  <c r="Q16" i="1"/>
  <c r="R16" i="1"/>
  <c r="S16" i="1"/>
  <c r="T16" i="1"/>
  <c r="U16" i="1"/>
  <c r="V16" i="1"/>
  <c r="W16" i="1"/>
  <c r="X16" i="1"/>
  <c r="Y16" i="1"/>
  <c r="Y46" i="1" s="1"/>
  <c r="Z16" i="1"/>
  <c r="Y2" i="12"/>
  <c r="AC2" i="12" s="1"/>
  <c r="Y3" i="12"/>
  <c r="AC3" i="12" s="1"/>
  <c r="Y4" i="12"/>
  <c r="AC4" i="12" s="1"/>
  <c r="Y5" i="12"/>
  <c r="AC5" i="12" s="1"/>
  <c r="Y8" i="12"/>
  <c r="AC8" i="12" s="1"/>
  <c r="Y13" i="12"/>
  <c r="AC13" i="12" s="1"/>
  <c r="Y14" i="12"/>
  <c r="AC14" i="12" s="1"/>
  <c r="Y15" i="12"/>
  <c r="AC15" i="12" s="1"/>
  <c r="Y19" i="12"/>
  <c r="AC19" i="12" s="1"/>
  <c r="Y20" i="12"/>
  <c r="AC20" i="12" s="1"/>
  <c r="Y21" i="12"/>
  <c r="AC21" i="12" s="1"/>
  <c r="Y22" i="12"/>
  <c r="AC22" i="12" s="1"/>
  <c r="Y23" i="12"/>
  <c r="AC23" i="12" s="1"/>
  <c r="Y24" i="12"/>
  <c r="AC24" i="12" s="1"/>
  <c r="Y28" i="12"/>
  <c r="AC28" i="12" s="1"/>
  <c r="Y29" i="12"/>
  <c r="AC29" i="12" s="1"/>
  <c r="Y30" i="12"/>
  <c r="AC30" i="12" s="1"/>
  <c r="Y31" i="12"/>
  <c r="AC31" i="12" s="1"/>
  <c r="Y32" i="12"/>
  <c r="AC32" i="12" s="1"/>
  <c r="Y36" i="12"/>
  <c r="AC36" i="12" s="1"/>
  <c r="Y37" i="12"/>
  <c r="AC37" i="12" s="1"/>
  <c r="Y38" i="12"/>
  <c r="AC38" i="12" s="1"/>
  <c r="Y39" i="12"/>
  <c r="AC39" i="12" s="1"/>
  <c r="Y40" i="12"/>
  <c r="AC40" i="12" s="1"/>
  <c r="Y42" i="12"/>
  <c r="AC42" i="12" s="1"/>
  <c r="Y46" i="12"/>
  <c r="AC46" i="12" s="1"/>
  <c r="Y47" i="12"/>
  <c r="AC47" i="12" s="1"/>
  <c r="Y48" i="12"/>
  <c r="AC48" i="12" s="1"/>
  <c r="Y49" i="12"/>
  <c r="AC49" i="12" s="1"/>
  <c r="Y50" i="12"/>
  <c r="AC50" i="12" s="1"/>
  <c r="Y51" i="12"/>
  <c r="AC51" i="12" s="1"/>
  <c r="Y52" i="12"/>
  <c r="AC52" i="12" s="1"/>
  <c r="Y56" i="12"/>
  <c r="AC56" i="12" s="1"/>
  <c r="Y57" i="12"/>
  <c r="AC57" i="12" s="1"/>
  <c r="Y61" i="12"/>
  <c r="AC61" i="12" s="1"/>
  <c r="Y62" i="12"/>
  <c r="AC62" i="12" s="1"/>
  <c r="Y63" i="12"/>
  <c r="AC63" i="12" s="1"/>
  <c r="Y67" i="12"/>
  <c r="AC67" i="12" s="1"/>
  <c r="Y68" i="12"/>
  <c r="AC68" i="12" s="1"/>
  <c r="Y69" i="12"/>
  <c r="AC69" i="12" s="1"/>
  <c r="Y70" i="12"/>
  <c r="AC70" i="12" s="1"/>
  <c r="Y71" i="12"/>
  <c r="AC71" i="12" s="1"/>
  <c r="Y72" i="12"/>
  <c r="AC72" i="12" s="1"/>
  <c r="Y77" i="12"/>
  <c r="AC77" i="12" s="1"/>
  <c r="Y78" i="12"/>
  <c r="AC78" i="12" s="1"/>
  <c r="Y79" i="12"/>
  <c r="AC79" i="12" s="1"/>
  <c r="Y80" i="12"/>
  <c r="AC80" i="12" s="1"/>
  <c r="Y84" i="12"/>
  <c r="AC84" i="12" s="1"/>
  <c r="Y85" i="12"/>
  <c r="AC85" i="12" s="1"/>
  <c r="Y86" i="12"/>
  <c r="AC86" i="12" s="1"/>
  <c r="Y88" i="12"/>
  <c r="AC88" i="12" s="1"/>
  <c r="Y89" i="12"/>
  <c r="AC89" i="12" s="1"/>
  <c r="Y93" i="12"/>
  <c r="AC93" i="12" s="1"/>
  <c r="Y94" i="12"/>
  <c r="AC94" i="12" s="1"/>
  <c r="Y95" i="12"/>
  <c r="AC95" i="12" s="1"/>
  <c r="Y96" i="12"/>
  <c r="AC96" i="12" s="1"/>
  <c r="Y98" i="12"/>
  <c r="AC98" i="12" s="1"/>
  <c r="Y99" i="12"/>
  <c r="AC99" i="12" s="1"/>
  <c r="Y103" i="12"/>
  <c r="AC103" i="12" s="1"/>
  <c r="Y104" i="12"/>
  <c r="AC104" i="12" s="1"/>
  <c r="Y105" i="12"/>
  <c r="AC105" i="12" s="1"/>
  <c r="Y106" i="12"/>
  <c r="AC106" i="12" s="1"/>
  <c r="Y110" i="12"/>
  <c r="AC110" i="12" s="1"/>
  <c r="Y111" i="12"/>
  <c r="AC111" i="12" s="1"/>
  <c r="Y113" i="12"/>
  <c r="AC113" i="12" s="1"/>
  <c r="Y114" i="12"/>
  <c r="AC114" i="12" s="1"/>
  <c r="Y117" i="12"/>
  <c r="AC117" i="12" s="1"/>
  <c r="Y118" i="12"/>
  <c r="AC118" i="12" s="1"/>
  <c r="Y124" i="12"/>
  <c r="AC124" i="12" s="1"/>
  <c r="Y125" i="12"/>
  <c r="AC125" i="12" s="1"/>
  <c r="Y126" i="12"/>
  <c r="AC126" i="12" s="1"/>
  <c r="Y127" i="12"/>
  <c r="AC127" i="12" s="1"/>
  <c r="Y129" i="12"/>
  <c r="AC129" i="12" s="1"/>
  <c r="Y130" i="12"/>
  <c r="AC130" i="12" s="1"/>
  <c r="Y134" i="12"/>
  <c r="AC134" i="12" s="1"/>
  <c r="Y135" i="12"/>
  <c r="AC135" i="12" s="1"/>
  <c r="Y136" i="12"/>
  <c r="AC136" i="12" s="1"/>
  <c r="Y138" i="12"/>
  <c r="AC138" i="12" s="1"/>
  <c r="Y139" i="12"/>
  <c r="AC139" i="12" s="1"/>
  <c r="Y143" i="12"/>
  <c r="AC143" i="12" s="1"/>
  <c r="Y144" i="12"/>
  <c r="AC144" i="12" s="1"/>
  <c r="Y145" i="12"/>
  <c r="AC145" i="12" s="1"/>
  <c r="Y146" i="12"/>
  <c r="AC146" i="12" s="1"/>
  <c r="Y147" i="12"/>
  <c r="AC147" i="12" s="1"/>
  <c r="Y149" i="12"/>
  <c r="AC149" i="12" s="1"/>
  <c r="Y153" i="12"/>
  <c r="AC153" i="12" s="1"/>
  <c r="Y154" i="12"/>
  <c r="AC154" i="12" s="1"/>
  <c r="Y155" i="12"/>
  <c r="AC155" i="12" s="1"/>
  <c r="Y156" i="12"/>
  <c r="AC156" i="12" s="1"/>
  <c r="Y157" i="12"/>
  <c r="AC157" i="12" s="1"/>
  <c r="Y158" i="12"/>
  <c r="AC158" i="12" s="1"/>
  <c r="Y162" i="12"/>
  <c r="AC162" i="12" s="1"/>
  <c r="Y163" i="12"/>
  <c r="AC163" i="12" s="1"/>
  <c r="Y164" i="12"/>
  <c r="AC164" i="12" s="1"/>
  <c r="Y168" i="12"/>
  <c r="AC168" i="12" s="1"/>
  <c r="Y169" i="12"/>
  <c r="Y172" i="12"/>
  <c r="AC172" i="12" s="1"/>
  <c r="Y173" i="12"/>
  <c r="AC173" i="12" s="1"/>
  <c r="Y174" i="12"/>
  <c r="AC174" i="12" s="1"/>
  <c r="Y175" i="12"/>
  <c r="AC175" i="12" s="1"/>
  <c r="Y176" i="12"/>
  <c r="AC176" i="12" s="1"/>
  <c r="Y177" i="12"/>
  <c r="AC177" i="12" s="1"/>
  <c r="Y178" i="12"/>
  <c r="AC178" i="12" s="1"/>
  <c r="Y179" i="12"/>
  <c r="AC179" i="12" s="1"/>
  <c r="X2" i="12"/>
  <c r="X3" i="12"/>
  <c r="X4" i="12"/>
  <c r="X5" i="12"/>
  <c r="X6" i="12"/>
  <c r="X7" i="12"/>
  <c r="X8" i="12"/>
  <c r="X13" i="12"/>
  <c r="X14" i="12"/>
  <c r="X15" i="12"/>
  <c r="X19" i="12"/>
  <c r="X20" i="12"/>
  <c r="X21" i="12"/>
  <c r="X22" i="12"/>
  <c r="X23" i="12"/>
  <c r="X24" i="12"/>
  <c r="X28" i="12"/>
  <c r="X29" i="12"/>
  <c r="X30" i="12"/>
  <c r="X31" i="12"/>
  <c r="X32" i="12"/>
  <c r="X36" i="12"/>
  <c r="X37" i="12"/>
  <c r="X38" i="12"/>
  <c r="X39" i="12"/>
  <c r="X40" i="12"/>
  <c r="X42" i="12"/>
  <c r="X46" i="12"/>
  <c r="X47" i="12"/>
  <c r="X48" i="12"/>
  <c r="X49" i="12"/>
  <c r="X50" i="12"/>
  <c r="X51" i="12"/>
  <c r="X52" i="12"/>
  <c r="X56" i="12"/>
  <c r="X57" i="12"/>
  <c r="X61" i="12"/>
  <c r="X62" i="12"/>
  <c r="X63" i="12"/>
  <c r="X67" i="12"/>
  <c r="X68" i="12"/>
  <c r="X69" i="12"/>
  <c r="X70" i="12"/>
  <c r="X71" i="12"/>
  <c r="X72" i="12"/>
  <c r="X77" i="12"/>
  <c r="X78" i="12"/>
  <c r="X79" i="12"/>
  <c r="X80" i="12"/>
  <c r="X81" i="12"/>
  <c r="X84" i="12"/>
  <c r="X85" i="12"/>
  <c r="X86" i="12"/>
  <c r="X87" i="12"/>
  <c r="X88" i="12"/>
  <c r="X89" i="12"/>
  <c r="X93" i="12"/>
  <c r="X94" i="12"/>
  <c r="X95" i="12"/>
  <c r="X96" i="12"/>
  <c r="X97" i="12"/>
  <c r="X98" i="12"/>
  <c r="X99" i="12"/>
  <c r="X103" i="12"/>
  <c r="X104" i="12"/>
  <c r="X105" i="12"/>
  <c r="X106" i="12"/>
  <c r="X107" i="12"/>
  <c r="X110" i="12"/>
  <c r="X111" i="12"/>
  <c r="X112" i="12"/>
  <c r="X113" i="12"/>
  <c r="X114" i="12"/>
  <c r="X117" i="12"/>
  <c r="X118" i="12"/>
  <c r="X124" i="12"/>
  <c r="X125" i="12"/>
  <c r="X126" i="12"/>
  <c r="X127" i="12"/>
  <c r="X128" i="12"/>
  <c r="X129" i="12"/>
  <c r="X130" i="12"/>
  <c r="X134" i="12"/>
  <c r="X135" i="12"/>
  <c r="X136" i="12"/>
  <c r="X137" i="12"/>
  <c r="X138" i="12"/>
  <c r="X139" i="12"/>
  <c r="X143" i="12"/>
  <c r="X144" i="12"/>
  <c r="X145" i="12"/>
  <c r="X146" i="12"/>
  <c r="X147" i="12"/>
  <c r="X148" i="12"/>
  <c r="X149" i="12"/>
  <c r="X153" i="12"/>
  <c r="X154" i="12"/>
  <c r="X155" i="12"/>
  <c r="X156" i="12"/>
  <c r="X157" i="12"/>
  <c r="X158" i="12"/>
  <c r="X162" i="12"/>
  <c r="X163" i="12"/>
  <c r="X164" i="12"/>
  <c r="X168" i="12"/>
  <c r="X169" i="12"/>
  <c r="X172" i="12"/>
  <c r="X173" i="12"/>
  <c r="X174" i="12"/>
  <c r="X175" i="12"/>
  <c r="X176" i="12"/>
  <c r="X177" i="12"/>
  <c r="X178" i="12"/>
  <c r="X179" i="12"/>
  <c r="S37" i="7"/>
  <c r="T37" i="7"/>
  <c r="U37" i="7"/>
  <c r="U46" i="7" s="1"/>
  <c r="V37" i="7"/>
  <c r="W37" i="7"/>
  <c r="X37" i="7"/>
  <c r="X46" i="7" s="1"/>
  <c r="Y37" i="7"/>
  <c r="Y46" i="7" s="1"/>
  <c r="Z37" i="7"/>
  <c r="AA37" i="7"/>
  <c r="S28" i="7"/>
  <c r="T28" i="7"/>
  <c r="U28" i="7"/>
  <c r="V28" i="7"/>
  <c r="V46" i="7" s="1"/>
  <c r="W28" i="7"/>
  <c r="X28" i="7"/>
  <c r="Y28" i="7"/>
  <c r="Z28" i="7"/>
  <c r="Z46" i="7" s="1"/>
  <c r="AA28" i="7"/>
  <c r="T16" i="7"/>
  <c r="T46" i="7" s="1"/>
  <c r="U16" i="7"/>
  <c r="V16" i="7"/>
  <c r="W16" i="7"/>
  <c r="W46" i="7"/>
  <c r="X16" i="7"/>
  <c r="Y16" i="7"/>
  <c r="Z16" i="7"/>
  <c r="AA16" i="7"/>
  <c r="AA29" i="2"/>
  <c r="AA17" i="4"/>
  <c r="AA29" i="4"/>
  <c r="AA38" i="4"/>
  <c r="AA49" i="4" s="1"/>
  <c r="T16" i="8"/>
  <c r="U16" i="8"/>
  <c r="V16" i="8"/>
  <c r="V47" i="8"/>
  <c r="W16" i="8"/>
  <c r="X16" i="8"/>
  <c r="Y16" i="8"/>
  <c r="Y47" i="8"/>
  <c r="Z16" i="8"/>
  <c r="AA16" i="8"/>
  <c r="T28" i="8"/>
  <c r="T47" i="8"/>
  <c r="U28" i="8"/>
  <c r="V28" i="8"/>
  <c r="W28" i="8"/>
  <c r="X28" i="8"/>
  <c r="Y28" i="8"/>
  <c r="Z28" i="8"/>
  <c r="AA28" i="8"/>
  <c r="T37" i="8"/>
  <c r="U37" i="8"/>
  <c r="U47" i="8" s="1"/>
  <c r="V37" i="8"/>
  <c r="W37" i="8"/>
  <c r="X37" i="8"/>
  <c r="X47" i="8"/>
  <c r="Y37" i="8"/>
  <c r="Z37" i="8"/>
  <c r="AA37" i="8"/>
  <c r="AA47" i="8" s="1"/>
  <c r="AA27" i="1"/>
  <c r="AA36" i="1"/>
  <c r="W112" i="12"/>
  <c r="W137" i="12"/>
  <c r="W128" i="12"/>
  <c r="W148" i="12"/>
  <c r="W107" i="12"/>
  <c r="W81" i="12"/>
  <c r="Y16" i="6"/>
  <c r="Y28" i="6"/>
  <c r="Z28" i="6"/>
  <c r="U28" i="6"/>
  <c r="V28" i="6"/>
  <c r="W28" i="6"/>
  <c r="W178" i="12"/>
  <c r="W158" i="12"/>
  <c r="W114" i="12"/>
  <c r="W106" i="12"/>
  <c r="W80" i="12"/>
  <c r="W51" i="12"/>
  <c r="V51" i="12"/>
  <c r="Z17" i="2"/>
  <c r="Z29" i="2"/>
  <c r="Y29" i="2"/>
  <c r="P29" i="2"/>
  <c r="Q29" i="2"/>
  <c r="R29" i="2"/>
  <c r="S29" i="2"/>
  <c r="T29" i="2"/>
  <c r="U29" i="2"/>
  <c r="V29" i="2"/>
  <c r="W29" i="2"/>
  <c r="X29" i="2"/>
  <c r="P17" i="2"/>
  <c r="Q17" i="2"/>
  <c r="R17" i="2"/>
  <c r="S17" i="2"/>
  <c r="T17" i="2"/>
  <c r="U17" i="2"/>
  <c r="V17" i="2"/>
  <c r="W17" i="2"/>
  <c r="Y17" i="2"/>
  <c r="X17" i="2"/>
  <c r="Z37" i="19"/>
  <c r="Y37" i="19"/>
  <c r="Z28" i="19"/>
  <c r="Y28" i="19"/>
  <c r="Z16" i="19"/>
  <c r="Y16" i="19"/>
  <c r="Y47" i="19" s="1"/>
  <c r="Z29" i="4"/>
  <c r="T27" i="1"/>
  <c r="T46" i="1" s="1"/>
  <c r="U27" i="1"/>
  <c r="V27" i="1"/>
  <c r="V46" i="1" s="1"/>
  <c r="W27" i="1"/>
  <c r="X27" i="1"/>
  <c r="Y27" i="1"/>
  <c r="Z27" i="1"/>
  <c r="Z46" i="1" s="1"/>
  <c r="T36" i="1"/>
  <c r="U36" i="1"/>
  <c r="U46" i="1"/>
  <c r="V36" i="1"/>
  <c r="W36" i="1"/>
  <c r="W46" i="1" s="1"/>
  <c r="X36" i="1"/>
  <c r="Y36" i="1"/>
  <c r="Z36" i="1"/>
  <c r="V47" i="17"/>
  <c r="W47" i="17"/>
  <c r="T37" i="17"/>
  <c r="U37" i="17"/>
  <c r="V37" i="17"/>
  <c r="W37" i="17"/>
  <c r="X37" i="17"/>
  <c r="Y37" i="17"/>
  <c r="Z37" i="17"/>
  <c r="T28" i="17"/>
  <c r="U28" i="17"/>
  <c r="V28" i="17"/>
  <c r="W28" i="17"/>
  <c r="X28" i="17"/>
  <c r="Y28" i="17"/>
  <c r="Z28" i="17"/>
  <c r="T16" i="17"/>
  <c r="T47" i="17"/>
  <c r="U16" i="17"/>
  <c r="V16" i="17"/>
  <c r="W16" i="17"/>
  <c r="X16" i="17"/>
  <c r="X47" i="17" s="1"/>
  <c r="Y16" i="17"/>
  <c r="Z16" i="17"/>
  <c r="Z47" i="17" s="1"/>
  <c r="U6" i="4"/>
  <c r="W9" i="4"/>
  <c r="W17" i="4"/>
  <c r="U14" i="4"/>
  <c r="S5" i="12" s="1"/>
  <c r="T17" i="4"/>
  <c r="V17" i="4"/>
  <c r="X17" i="4"/>
  <c r="X49" i="4"/>
  <c r="Y17" i="4"/>
  <c r="Z17" i="4"/>
  <c r="T28" i="4"/>
  <c r="T29" i="4" s="1"/>
  <c r="V28" i="4"/>
  <c r="V29" i="4" s="1"/>
  <c r="W28" i="4"/>
  <c r="W29" i="4"/>
  <c r="U29" i="4"/>
  <c r="X29" i="4"/>
  <c r="Y29" i="4"/>
  <c r="T37" i="4"/>
  <c r="W37" i="4"/>
  <c r="W38" i="4"/>
  <c r="T38" i="4"/>
  <c r="U38" i="4"/>
  <c r="V38" i="4"/>
  <c r="V49" i="4" s="1"/>
  <c r="X38" i="4"/>
  <c r="Y38" i="4"/>
  <c r="Z38" i="4"/>
  <c r="Z49" i="4"/>
  <c r="T41" i="4"/>
  <c r="R175" i="12" s="1"/>
  <c r="U41" i="4"/>
  <c r="S175" i="12"/>
  <c r="V144" i="12"/>
  <c r="V28" i="12"/>
  <c r="V173" i="12"/>
  <c r="V162" i="12"/>
  <c r="V153" i="12"/>
  <c r="V134" i="12"/>
  <c r="V125" i="12"/>
  <c r="V117" i="12"/>
  <c r="V103" i="12"/>
  <c r="V94" i="12"/>
  <c r="V85" i="12"/>
  <c r="V77" i="12"/>
  <c r="V67" i="12"/>
  <c r="V47" i="12"/>
  <c r="V37" i="12"/>
  <c r="V20" i="12"/>
  <c r="V3" i="12"/>
  <c r="W3" i="12"/>
  <c r="R138" i="12"/>
  <c r="S138" i="12"/>
  <c r="T138" i="12"/>
  <c r="U138" i="12"/>
  <c r="V138" i="12"/>
  <c r="W138" i="12"/>
  <c r="Q138" i="12"/>
  <c r="W172" i="12"/>
  <c r="W173" i="12"/>
  <c r="W174" i="12"/>
  <c r="W175" i="12"/>
  <c r="W176" i="12"/>
  <c r="W177" i="12"/>
  <c r="W179" i="12"/>
  <c r="W168" i="12"/>
  <c r="W169" i="12"/>
  <c r="W162" i="12"/>
  <c r="W163" i="12"/>
  <c r="W164" i="12"/>
  <c r="W153" i="12"/>
  <c r="W154" i="12"/>
  <c r="W155" i="12"/>
  <c r="W156" i="12"/>
  <c r="W157" i="12"/>
  <c r="W143" i="12"/>
  <c r="W144" i="12"/>
  <c r="W145" i="12"/>
  <c r="W146" i="12"/>
  <c r="W147" i="12"/>
  <c r="W149" i="12"/>
  <c r="W134" i="12"/>
  <c r="W135" i="12"/>
  <c r="W136" i="12"/>
  <c r="W139" i="12"/>
  <c r="W124" i="12"/>
  <c r="W125" i="12"/>
  <c r="W126" i="12"/>
  <c r="W127" i="12"/>
  <c r="W129" i="12"/>
  <c r="W130" i="12"/>
  <c r="W117" i="12"/>
  <c r="W118" i="12"/>
  <c r="W110" i="12"/>
  <c r="W111" i="12"/>
  <c r="W113" i="12"/>
  <c r="W103" i="12"/>
  <c r="W104" i="12"/>
  <c r="W105" i="12"/>
  <c r="W93" i="12"/>
  <c r="W94" i="12"/>
  <c r="W95" i="12"/>
  <c r="W96" i="12"/>
  <c r="W97" i="12"/>
  <c r="W98" i="12"/>
  <c r="W99" i="12"/>
  <c r="W84" i="12"/>
  <c r="W85" i="12"/>
  <c r="W86" i="12"/>
  <c r="W87" i="12"/>
  <c r="W88" i="12"/>
  <c r="W89" i="12"/>
  <c r="W77" i="12"/>
  <c r="W78" i="12"/>
  <c r="W79" i="12"/>
  <c r="W67" i="12"/>
  <c r="W68" i="12"/>
  <c r="W69" i="12"/>
  <c r="W70" i="12"/>
  <c r="W71" i="12"/>
  <c r="W72" i="12"/>
  <c r="W61" i="12"/>
  <c r="W62" i="12"/>
  <c r="W63" i="12"/>
  <c r="W56" i="12"/>
  <c r="W57" i="12"/>
  <c r="W46" i="12"/>
  <c r="W47" i="12"/>
  <c r="W48" i="12"/>
  <c r="W49" i="12"/>
  <c r="W50" i="12"/>
  <c r="W52" i="12"/>
  <c r="W36" i="12"/>
  <c r="W37" i="12"/>
  <c r="W38" i="12"/>
  <c r="W39" i="12"/>
  <c r="W40" i="12"/>
  <c r="W42" i="12"/>
  <c r="W28" i="12"/>
  <c r="W29" i="12"/>
  <c r="W30" i="12"/>
  <c r="W31" i="12"/>
  <c r="W32" i="12"/>
  <c r="W19" i="12"/>
  <c r="W20" i="12"/>
  <c r="W21" i="12"/>
  <c r="W22" i="12"/>
  <c r="W23" i="12"/>
  <c r="W24" i="12"/>
  <c r="W13" i="12"/>
  <c r="W14" i="12"/>
  <c r="W15" i="12"/>
  <c r="W2" i="12"/>
  <c r="W4" i="12"/>
  <c r="W5" i="12"/>
  <c r="W6" i="12"/>
  <c r="W7" i="12"/>
  <c r="W8" i="12"/>
  <c r="R132" i="12"/>
  <c r="S132" i="12"/>
  <c r="T132" i="12"/>
  <c r="U132" i="12"/>
  <c r="Q132" i="12"/>
  <c r="R131" i="12"/>
  <c r="S131" i="12"/>
  <c r="T131" i="12"/>
  <c r="U131" i="12"/>
  <c r="Q131" i="12"/>
  <c r="K14" i="11"/>
  <c r="K25" i="11"/>
  <c r="D44" i="11"/>
  <c r="E44" i="11"/>
  <c r="F44" i="11"/>
  <c r="G44" i="11"/>
  <c r="H44" i="11"/>
  <c r="I44" i="11"/>
  <c r="J44" i="11"/>
  <c r="B51" i="13"/>
  <c r="D51" i="13"/>
  <c r="C51" i="13" s="1"/>
  <c r="B54" i="13"/>
  <c r="D54" i="13"/>
  <c r="C54" i="13"/>
  <c r="H2" i="12"/>
  <c r="I2" i="12"/>
  <c r="J2" i="12"/>
  <c r="K2" i="12"/>
  <c r="L2" i="12"/>
  <c r="M2" i="12"/>
  <c r="N2" i="12"/>
  <c r="O2" i="12"/>
  <c r="P2" i="12"/>
  <c r="Q2" i="12"/>
  <c r="R2" i="12"/>
  <c r="S2" i="12"/>
  <c r="T2" i="12"/>
  <c r="U2" i="12"/>
  <c r="V2" i="12"/>
  <c r="H3" i="12"/>
  <c r="I3" i="12"/>
  <c r="J3" i="12"/>
  <c r="K3" i="12"/>
  <c r="L3" i="12"/>
  <c r="M3" i="12"/>
  <c r="N3" i="12"/>
  <c r="O3" i="12"/>
  <c r="P3" i="12"/>
  <c r="Q3" i="12"/>
  <c r="R3" i="12"/>
  <c r="S3" i="12"/>
  <c r="T3" i="12"/>
  <c r="U3" i="12"/>
  <c r="H4" i="12"/>
  <c r="I4" i="12"/>
  <c r="J4" i="12"/>
  <c r="K4" i="12"/>
  <c r="L4" i="12"/>
  <c r="M4" i="12"/>
  <c r="N4" i="12"/>
  <c r="O4" i="12"/>
  <c r="P4" i="12"/>
  <c r="Q4" i="12"/>
  <c r="R4" i="12"/>
  <c r="S4" i="12"/>
  <c r="T4" i="12"/>
  <c r="U4" i="12"/>
  <c r="V4" i="12"/>
  <c r="H5" i="12"/>
  <c r="I5" i="12"/>
  <c r="J5" i="12"/>
  <c r="K5" i="12"/>
  <c r="L5" i="12"/>
  <c r="M5" i="12"/>
  <c r="N5" i="12"/>
  <c r="O5" i="12"/>
  <c r="P5" i="12"/>
  <c r="Q5" i="12"/>
  <c r="R5" i="12"/>
  <c r="T5" i="12"/>
  <c r="U5" i="12"/>
  <c r="V5" i="12"/>
  <c r="H6" i="12"/>
  <c r="I6" i="12"/>
  <c r="J6" i="12"/>
  <c r="L6" i="12"/>
  <c r="M6" i="12"/>
  <c r="N6" i="12"/>
  <c r="O6" i="12"/>
  <c r="P6" i="12"/>
  <c r="Q6" i="12"/>
  <c r="R6" i="12"/>
  <c r="S6" i="12"/>
  <c r="T6" i="12"/>
  <c r="U6" i="12"/>
  <c r="V6" i="12"/>
  <c r="G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V7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V8" i="12"/>
  <c r="M9" i="12"/>
  <c r="N9" i="12"/>
  <c r="O9" i="12"/>
  <c r="P9" i="12"/>
  <c r="Q9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V13" i="12"/>
  <c r="H14" i="12"/>
  <c r="I14" i="12"/>
  <c r="J14" i="12"/>
  <c r="L14" i="12"/>
  <c r="M14" i="12"/>
  <c r="N14" i="12"/>
  <c r="O14" i="12"/>
  <c r="P14" i="12"/>
  <c r="Q14" i="12"/>
  <c r="R14" i="12"/>
  <c r="S14" i="12"/>
  <c r="T14" i="12"/>
  <c r="U14" i="12"/>
  <c r="V14" i="12"/>
  <c r="H15" i="12"/>
  <c r="I15" i="12"/>
  <c r="J15" i="12"/>
  <c r="K15" i="12"/>
  <c r="L15" i="12"/>
  <c r="P15" i="12"/>
  <c r="Q15" i="12"/>
  <c r="R15" i="12"/>
  <c r="S15" i="12"/>
  <c r="T15" i="12"/>
  <c r="U15" i="12"/>
  <c r="V15" i="12"/>
  <c r="J19" i="12"/>
  <c r="O19" i="12"/>
  <c r="P19" i="12"/>
  <c r="Q19" i="12"/>
  <c r="R19" i="12"/>
  <c r="S19" i="12"/>
  <c r="T19" i="12"/>
  <c r="U19" i="12"/>
  <c r="V19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V21" i="12"/>
  <c r="K22" i="12"/>
  <c r="L22" i="12"/>
  <c r="M22" i="12"/>
  <c r="N22" i="12"/>
  <c r="O22" i="12"/>
  <c r="P22" i="12"/>
  <c r="Q22" i="12"/>
  <c r="R22" i="12"/>
  <c r="S22" i="12"/>
  <c r="T22" i="12"/>
  <c r="U22" i="12"/>
  <c r="V22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V23" i="12"/>
  <c r="H24" i="12"/>
  <c r="I24" i="12"/>
  <c r="J24" i="12"/>
  <c r="K24" i="12"/>
  <c r="L24" i="12"/>
  <c r="M24" i="12"/>
  <c r="N24" i="12"/>
  <c r="O24" i="12"/>
  <c r="P24" i="12"/>
  <c r="Q24" i="12"/>
  <c r="R24" i="12"/>
  <c r="T24" i="12"/>
  <c r="U24" i="12"/>
  <c r="V24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V29" i="12"/>
  <c r="L30" i="12"/>
  <c r="M30" i="12"/>
  <c r="N30" i="12"/>
  <c r="O30" i="12"/>
  <c r="P30" i="12"/>
  <c r="Q30" i="12"/>
  <c r="R30" i="12"/>
  <c r="T30" i="12"/>
  <c r="U30" i="12"/>
  <c r="V30" i="12"/>
  <c r="G31" i="12"/>
  <c r="H31" i="12"/>
  <c r="K31" i="12"/>
  <c r="L31" i="12"/>
  <c r="M31" i="12"/>
  <c r="N31" i="12"/>
  <c r="O31" i="12"/>
  <c r="P31" i="12"/>
  <c r="Q31" i="12"/>
  <c r="R31" i="12"/>
  <c r="S31" i="12"/>
  <c r="T31" i="12"/>
  <c r="U31" i="12"/>
  <c r="V31" i="12"/>
  <c r="H32" i="12"/>
  <c r="I32" i="12"/>
  <c r="J32" i="12"/>
  <c r="K32" i="12"/>
  <c r="N32" i="12"/>
  <c r="O32" i="12"/>
  <c r="P32" i="12"/>
  <c r="Q32" i="12"/>
  <c r="R32" i="12"/>
  <c r="S32" i="12"/>
  <c r="T32" i="12"/>
  <c r="U32" i="12"/>
  <c r="V32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H38" i="12"/>
  <c r="I38" i="12"/>
  <c r="J38" i="12"/>
  <c r="K38" i="12"/>
  <c r="L38" i="12"/>
  <c r="M38" i="12"/>
  <c r="N38" i="12"/>
  <c r="O38" i="12"/>
  <c r="P38" i="12"/>
  <c r="Q38" i="12"/>
  <c r="S38" i="12"/>
  <c r="T38" i="12"/>
  <c r="U38" i="12"/>
  <c r="V38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G40" i="12"/>
  <c r="H40" i="12"/>
  <c r="I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N41" i="12"/>
  <c r="O41" i="12"/>
  <c r="P41" i="12"/>
  <c r="Q41" i="12"/>
  <c r="H42" i="12"/>
  <c r="I42" i="12"/>
  <c r="J42" i="12"/>
  <c r="K42" i="12"/>
  <c r="N42" i="12"/>
  <c r="P42" i="12"/>
  <c r="Q42" i="12"/>
  <c r="R42" i="12"/>
  <c r="S42" i="12"/>
  <c r="T42" i="12"/>
  <c r="U42" i="12"/>
  <c r="V42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H48" i="12"/>
  <c r="I48" i="12"/>
  <c r="J48" i="12"/>
  <c r="K48" i="12"/>
  <c r="M48" i="12"/>
  <c r="N48" i="12"/>
  <c r="O48" i="12"/>
  <c r="P48" i="12"/>
  <c r="Q48" i="12"/>
  <c r="R48" i="12"/>
  <c r="S48" i="12"/>
  <c r="T48" i="12"/>
  <c r="U48" i="12"/>
  <c r="V48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G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H52" i="12"/>
  <c r="I52" i="12"/>
  <c r="J52" i="12"/>
  <c r="K52" i="12"/>
  <c r="N52" i="12"/>
  <c r="P52" i="12"/>
  <c r="Q52" i="12"/>
  <c r="R52" i="12"/>
  <c r="S52" i="12"/>
  <c r="T52" i="12"/>
  <c r="U52" i="12"/>
  <c r="V52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H57" i="12"/>
  <c r="I57" i="12"/>
  <c r="J57" i="12"/>
  <c r="L57" i="12"/>
  <c r="M57" i="12"/>
  <c r="N57" i="12"/>
  <c r="O57" i="12"/>
  <c r="P57" i="12"/>
  <c r="Q57" i="12"/>
  <c r="R57" i="12"/>
  <c r="S57" i="12"/>
  <c r="T57" i="12"/>
  <c r="U57" i="12"/>
  <c r="V57" i="12"/>
  <c r="H61" i="12"/>
  <c r="I61" i="12"/>
  <c r="J61" i="12"/>
  <c r="K61" i="12"/>
  <c r="L61" i="12"/>
  <c r="M61" i="12"/>
  <c r="N61" i="12"/>
  <c r="O61" i="12"/>
  <c r="Q61" i="12"/>
  <c r="R61" i="12"/>
  <c r="S61" i="12"/>
  <c r="T61" i="12"/>
  <c r="U61" i="12"/>
  <c r="V61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H68" i="12"/>
  <c r="I68" i="12"/>
  <c r="J68" i="12"/>
  <c r="K68" i="12"/>
  <c r="L68" i="12"/>
  <c r="M68" i="12"/>
  <c r="N68" i="12"/>
  <c r="O68" i="12"/>
  <c r="P68" i="12"/>
  <c r="Q68" i="12"/>
  <c r="R68" i="12"/>
  <c r="S68" i="12"/>
  <c r="T68" i="12"/>
  <c r="U68" i="12"/>
  <c r="V68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H70" i="12"/>
  <c r="I70" i="12"/>
  <c r="J70" i="12"/>
  <c r="L70" i="12"/>
  <c r="M70" i="12"/>
  <c r="N70" i="12"/>
  <c r="P70" i="12"/>
  <c r="Q70" i="12"/>
  <c r="R70" i="12"/>
  <c r="S70" i="12"/>
  <c r="T70" i="12"/>
  <c r="U70" i="12"/>
  <c r="V70" i="12"/>
  <c r="H71" i="12"/>
  <c r="I71" i="12"/>
  <c r="J71" i="12"/>
  <c r="K71" i="12"/>
  <c r="L71" i="12"/>
  <c r="M71" i="12"/>
  <c r="N71" i="12"/>
  <c r="O71" i="12"/>
  <c r="P71" i="12"/>
  <c r="Q71" i="12"/>
  <c r="R71" i="12"/>
  <c r="S71" i="12"/>
  <c r="T71" i="12"/>
  <c r="U71" i="12"/>
  <c r="V71" i="12"/>
  <c r="H72" i="12"/>
  <c r="I72" i="12"/>
  <c r="J72" i="12"/>
  <c r="K72" i="12"/>
  <c r="L72" i="12"/>
  <c r="M72" i="12"/>
  <c r="N72" i="12"/>
  <c r="O72" i="12"/>
  <c r="P72" i="12"/>
  <c r="Q72" i="12"/>
  <c r="R72" i="12"/>
  <c r="S72" i="12"/>
  <c r="T72" i="12"/>
  <c r="U72" i="12"/>
  <c r="V72" i="12"/>
  <c r="H77" i="12"/>
  <c r="I77" i="12"/>
  <c r="J77" i="12"/>
  <c r="K77" i="12"/>
  <c r="L77" i="12"/>
  <c r="M77" i="12"/>
  <c r="N77" i="12"/>
  <c r="O77" i="12"/>
  <c r="P77" i="12"/>
  <c r="Q77" i="12"/>
  <c r="R77" i="12"/>
  <c r="S77" i="12"/>
  <c r="T77" i="12"/>
  <c r="U77" i="12"/>
  <c r="H78" i="12"/>
  <c r="I78" i="12"/>
  <c r="J78" i="12"/>
  <c r="K78" i="12"/>
  <c r="L78" i="12"/>
  <c r="M78" i="12"/>
  <c r="N78" i="12"/>
  <c r="O78" i="12"/>
  <c r="P78" i="12"/>
  <c r="Q78" i="12"/>
  <c r="R78" i="12"/>
  <c r="S78" i="12"/>
  <c r="T78" i="12"/>
  <c r="U78" i="12"/>
  <c r="V78" i="12"/>
  <c r="I79" i="12"/>
  <c r="J79" i="12"/>
  <c r="K79" i="12"/>
  <c r="L79" i="12"/>
  <c r="M79" i="12"/>
  <c r="N79" i="12"/>
  <c r="O79" i="12"/>
  <c r="P79" i="12"/>
  <c r="Q79" i="12"/>
  <c r="R79" i="12"/>
  <c r="S79" i="12"/>
  <c r="T79" i="12"/>
  <c r="U79" i="12"/>
  <c r="V79" i="12"/>
  <c r="H80" i="12"/>
  <c r="I80" i="12"/>
  <c r="J80" i="12"/>
  <c r="K80" i="12"/>
  <c r="L80" i="12"/>
  <c r="M80" i="12"/>
  <c r="N80" i="12"/>
  <c r="O80" i="12"/>
  <c r="P80" i="12"/>
  <c r="Q80" i="12"/>
  <c r="R80" i="12"/>
  <c r="S80" i="12"/>
  <c r="T80" i="12"/>
  <c r="U80" i="12"/>
  <c r="V80" i="12"/>
  <c r="H84" i="12"/>
  <c r="I84" i="12"/>
  <c r="J84" i="12"/>
  <c r="K84" i="12"/>
  <c r="L84" i="12"/>
  <c r="N84" i="12"/>
  <c r="O84" i="12"/>
  <c r="P84" i="12"/>
  <c r="Q84" i="12"/>
  <c r="R84" i="12"/>
  <c r="S84" i="12"/>
  <c r="T84" i="12"/>
  <c r="U84" i="12"/>
  <c r="V84" i="12"/>
  <c r="H85" i="12"/>
  <c r="I85" i="12"/>
  <c r="J85" i="12"/>
  <c r="K85" i="12"/>
  <c r="L85" i="12"/>
  <c r="M85" i="12"/>
  <c r="N85" i="12"/>
  <c r="O85" i="12"/>
  <c r="P85" i="12"/>
  <c r="Q85" i="12"/>
  <c r="R85" i="12"/>
  <c r="S85" i="12"/>
  <c r="T85" i="12"/>
  <c r="U85" i="12"/>
  <c r="H86" i="12"/>
  <c r="I86" i="12"/>
  <c r="J86" i="12"/>
  <c r="K86" i="12"/>
  <c r="L86" i="12"/>
  <c r="M86" i="12"/>
  <c r="N86" i="12"/>
  <c r="O86" i="12"/>
  <c r="P86" i="12"/>
  <c r="Q86" i="12"/>
  <c r="R86" i="12"/>
  <c r="S86" i="12"/>
  <c r="T86" i="12"/>
  <c r="U86" i="12"/>
  <c r="V86" i="12"/>
  <c r="J87" i="12"/>
  <c r="K87" i="12"/>
  <c r="L87" i="12"/>
  <c r="M87" i="12"/>
  <c r="N87" i="12"/>
  <c r="O87" i="12"/>
  <c r="P87" i="12"/>
  <c r="Q87" i="12"/>
  <c r="R87" i="12"/>
  <c r="S87" i="12"/>
  <c r="T87" i="12"/>
  <c r="U87" i="12"/>
  <c r="H88" i="12"/>
  <c r="I88" i="12"/>
  <c r="J88" i="12"/>
  <c r="K88" i="12"/>
  <c r="L88" i="12"/>
  <c r="M88" i="12"/>
  <c r="N88" i="12"/>
  <c r="O88" i="12"/>
  <c r="P88" i="12"/>
  <c r="Q88" i="12"/>
  <c r="R88" i="12"/>
  <c r="S88" i="12"/>
  <c r="T88" i="12"/>
  <c r="U88" i="12"/>
  <c r="V88" i="12"/>
  <c r="P89" i="12"/>
  <c r="Q89" i="12"/>
  <c r="R89" i="12"/>
  <c r="S89" i="12"/>
  <c r="T89" i="12"/>
  <c r="U89" i="12"/>
  <c r="V89" i="12"/>
  <c r="H93" i="12"/>
  <c r="I93" i="12"/>
  <c r="J93" i="12"/>
  <c r="K93" i="12"/>
  <c r="L93" i="12"/>
  <c r="M93" i="12"/>
  <c r="O93" i="12"/>
  <c r="P93" i="12"/>
  <c r="Q93" i="12"/>
  <c r="R93" i="12"/>
  <c r="S93" i="12"/>
  <c r="T93" i="12"/>
  <c r="U93" i="12"/>
  <c r="V93" i="12"/>
  <c r="H94" i="12"/>
  <c r="I94" i="12"/>
  <c r="J94" i="12"/>
  <c r="K94" i="12"/>
  <c r="L94" i="12"/>
  <c r="M94" i="12"/>
  <c r="N94" i="12"/>
  <c r="O94" i="12"/>
  <c r="P94" i="12"/>
  <c r="Q94" i="12"/>
  <c r="R94" i="12"/>
  <c r="S94" i="12"/>
  <c r="T94" i="12"/>
  <c r="U94" i="12"/>
  <c r="K95" i="12"/>
  <c r="L95" i="12"/>
  <c r="M95" i="12"/>
  <c r="N95" i="12"/>
  <c r="O95" i="12"/>
  <c r="P95" i="12"/>
  <c r="Q95" i="12"/>
  <c r="R95" i="12"/>
  <c r="S95" i="12"/>
  <c r="T95" i="12"/>
  <c r="U95" i="12"/>
  <c r="V95" i="12"/>
  <c r="H96" i="12"/>
  <c r="I96" i="12"/>
  <c r="J96" i="12"/>
  <c r="K96" i="12"/>
  <c r="L96" i="12"/>
  <c r="M96" i="12"/>
  <c r="N96" i="12"/>
  <c r="O96" i="12"/>
  <c r="P96" i="12"/>
  <c r="Q96" i="12"/>
  <c r="R96" i="12"/>
  <c r="S96" i="12"/>
  <c r="T96" i="12"/>
  <c r="U96" i="12"/>
  <c r="V96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H98" i="12"/>
  <c r="I98" i="12"/>
  <c r="J98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H99" i="12"/>
  <c r="I99" i="12"/>
  <c r="J99" i="12"/>
  <c r="K99" i="12"/>
  <c r="L99" i="12"/>
  <c r="M99" i="12"/>
  <c r="N99" i="12"/>
  <c r="O99" i="12"/>
  <c r="P99" i="12"/>
  <c r="Q99" i="12"/>
  <c r="R99" i="12"/>
  <c r="S99" i="12"/>
  <c r="T99" i="12"/>
  <c r="U99" i="12"/>
  <c r="V99" i="12"/>
  <c r="H103" i="12"/>
  <c r="I103" i="12"/>
  <c r="J103" i="12"/>
  <c r="K103" i="12"/>
  <c r="L103" i="12"/>
  <c r="M103" i="12"/>
  <c r="N103" i="12"/>
  <c r="O103" i="12"/>
  <c r="P103" i="12"/>
  <c r="Q103" i="12"/>
  <c r="R103" i="12"/>
  <c r="S103" i="12"/>
  <c r="T103" i="12"/>
  <c r="U103" i="12"/>
  <c r="H104" i="12"/>
  <c r="I104" i="12"/>
  <c r="J104" i="12"/>
  <c r="K104" i="12"/>
  <c r="L104" i="12"/>
  <c r="M104" i="12"/>
  <c r="N104" i="12"/>
  <c r="O104" i="12"/>
  <c r="P104" i="12"/>
  <c r="Q104" i="12"/>
  <c r="R104" i="12"/>
  <c r="S104" i="12"/>
  <c r="T104" i="12"/>
  <c r="U104" i="12"/>
  <c r="V104" i="12"/>
  <c r="I105" i="12"/>
  <c r="J105" i="12"/>
  <c r="K105" i="12"/>
  <c r="L105" i="12"/>
  <c r="M105" i="12"/>
  <c r="N105" i="12"/>
  <c r="O105" i="12"/>
  <c r="P105" i="12"/>
  <c r="Q105" i="12"/>
  <c r="R105" i="12"/>
  <c r="S105" i="12"/>
  <c r="T105" i="12"/>
  <c r="U105" i="12"/>
  <c r="V105" i="12"/>
  <c r="H106" i="12"/>
  <c r="I106" i="12"/>
  <c r="J106" i="12"/>
  <c r="K106" i="12"/>
  <c r="L106" i="12"/>
  <c r="M106" i="12"/>
  <c r="N106" i="12"/>
  <c r="O106" i="12"/>
  <c r="P106" i="12"/>
  <c r="Q106" i="12"/>
  <c r="R106" i="12"/>
  <c r="S106" i="12"/>
  <c r="T106" i="12"/>
  <c r="U106" i="12"/>
  <c r="V106" i="12"/>
  <c r="H110" i="12"/>
  <c r="I110" i="12"/>
  <c r="J110" i="12"/>
  <c r="K110" i="12"/>
  <c r="L110" i="12"/>
  <c r="M110" i="12"/>
  <c r="N110" i="12"/>
  <c r="O110" i="12"/>
  <c r="P110" i="12"/>
  <c r="Q110" i="12"/>
  <c r="R110" i="12"/>
  <c r="S110" i="12"/>
  <c r="T110" i="12"/>
  <c r="U110" i="12"/>
  <c r="V110" i="12"/>
  <c r="E111" i="12"/>
  <c r="F111" i="12"/>
  <c r="G111" i="12"/>
  <c r="J111" i="12"/>
  <c r="K111" i="12"/>
  <c r="L111" i="12"/>
  <c r="M111" i="12"/>
  <c r="N111" i="12"/>
  <c r="O111" i="12"/>
  <c r="P111" i="12"/>
  <c r="Q111" i="12"/>
  <c r="R111" i="12"/>
  <c r="S111" i="12"/>
  <c r="T111" i="12"/>
  <c r="U111" i="12"/>
  <c r="V111" i="12"/>
  <c r="H112" i="12"/>
  <c r="I112" i="12"/>
  <c r="J112" i="12"/>
  <c r="K112" i="12"/>
  <c r="L112" i="12"/>
  <c r="M112" i="12"/>
  <c r="N112" i="12"/>
  <c r="O112" i="12"/>
  <c r="P112" i="12"/>
  <c r="Q112" i="12"/>
  <c r="R112" i="12"/>
  <c r="S112" i="12"/>
  <c r="T112" i="12"/>
  <c r="U112" i="12"/>
  <c r="K113" i="12"/>
  <c r="L113" i="12"/>
  <c r="M113" i="12"/>
  <c r="N113" i="12"/>
  <c r="O113" i="12"/>
  <c r="P113" i="12"/>
  <c r="Q113" i="12"/>
  <c r="R113" i="12"/>
  <c r="S113" i="12"/>
  <c r="T113" i="12"/>
  <c r="U113" i="12"/>
  <c r="V113" i="12"/>
  <c r="L114" i="12"/>
  <c r="M114" i="12"/>
  <c r="N114" i="12"/>
  <c r="O114" i="12"/>
  <c r="P114" i="12"/>
  <c r="Q114" i="12"/>
  <c r="R114" i="12"/>
  <c r="S114" i="12"/>
  <c r="T114" i="12"/>
  <c r="U114" i="12"/>
  <c r="V114" i="12"/>
  <c r="H117" i="12"/>
  <c r="I117" i="12"/>
  <c r="J117" i="12"/>
  <c r="K117" i="12"/>
  <c r="L117" i="12"/>
  <c r="M117" i="12"/>
  <c r="N117" i="12"/>
  <c r="O117" i="12"/>
  <c r="P117" i="12"/>
  <c r="Q117" i="12"/>
  <c r="R117" i="12"/>
  <c r="S117" i="12"/>
  <c r="T117" i="12"/>
  <c r="U117" i="12"/>
  <c r="H118" i="12"/>
  <c r="I118" i="12"/>
  <c r="J118" i="12"/>
  <c r="K118" i="12"/>
  <c r="L118" i="12"/>
  <c r="M118" i="12"/>
  <c r="N118" i="12"/>
  <c r="O118" i="12"/>
  <c r="P118" i="12"/>
  <c r="Q118" i="12"/>
  <c r="R118" i="12"/>
  <c r="S118" i="12"/>
  <c r="T118" i="12"/>
  <c r="U118" i="12"/>
  <c r="V118" i="12"/>
  <c r="H119" i="12"/>
  <c r="I119" i="12"/>
  <c r="J119" i="12"/>
  <c r="K119" i="12"/>
  <c r="L119" i="12"/>
  <c r="M119" i="12"/>
  <c r="N119" i="12"/>
  <c r="O119" i="12"/>
  <c r="P119" i="12"/>
  <c r="Q119" i="12"/>
  <c r="H120" i="12"/>
  <c r="I120" i="12"/>
  <c r="J120" i="12"/>
  <c r="K120" i="12"/>
  <c r="L120" i="12"/>
  <c r="M120" i="12"/>
  <c r="N120" i="12"/>
  <c r="O120" i="12"/>
  <c r="P120" i="12"/>
  <c r="Q120" i="12"/>
  <c r="R120" i="12"/>
  <c r="H124" i="12"/>
  <c r="I124" i="12"/>
  <c r="J124" i="12"/>
  <c r="K124" i="12"/>
  <c r="L124" i="12"/>
  <c r="M124" i="12"/>
  <c r="N124" i="12"/>
  <c r="O124" i="12"/>
  <c r="P124" i="12"/>
  <c r="Q124" i="12"/>
  <c r="R124" i="12"/>
  <c r="S124" i="12"/>
  <c r="T124" i="12"/>
  <c r="U124" i="12"/>
  <c r="V124" i="12"/>
  <c r="H125" i="12"/>
  <c r="I125" i="12"/>
  <c r="J125" i="12"/>
  <c r="K125" i="12"/>
  <c r="L125" i="12"/>
  <c r="M125" i="12"/>
  <c r="N125" i="12"/>
  <c r="O125" i="12"/>
  <c r="P125" i="12"/>
  <c r="Q125" i="12"/>
  <c r="R125" i="12"/>
  <c r="S125" i="12"/>
  <c r="T125" i="12"/>
  <c r="U125" i="12"/>
  <c r="H126" i="12"/>
  <c r="I126" i="12"/>
  <c r="J126" i="12"/>
  <c r="K126" i="12"/>
  <c r="L126" i="12"/>
  <c r="M126" i="12"/>
  <c r="N126" i="12"/>
  <c r="O126" i="12"/>
  <c r="P126" i="12"/>
  <c r="Q126" i="12"/>
  <c r="R126" i="12"/>
  <c r="S126" i="12"/>
  <c r="T126" i="12"/>
  <c r="U126" i="12"/>
  <c r="V126" i="12"/>
  <c r="E127" i="12"/>
  <c r="F127" i="12"/>
  <c r="G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H129" i="12"/>
  <c r="I129" i="12"/>
  <c r="J129" i="12"/>
  <c r="K129" i="12"/>
  <c r="L129" i="12"/>
  <c r="M129" i="12"/>
  <c r="N129" i="12"/>
  <c r="O129" i="12"/>
  <c r="P129" i="12"/>
  <c r="Q129" i="12"/>
  <c r="R129" i="12"/>
  <c r="S129" i="12"/>
  <c r="T129" i="12"/>
  <c r="U129" i="12"/>
  <c r="V129" i="12"/>
  <c r="H130" i="12"/>
  <c r="I130" i="12"/>
  <c r="J130" i="12"/>
  <c r="K130" i="12"/>
  <c r="L130" i="12"/>
  <c r="M130" i="12"/>
  <c r="N130" i="12"/>
  <c r="O130" i="12"/>
  <c r="P130" i="12"/>
  <c r="Q130" i="12"/>
  <c r="R130" i="12"/>
  <c r="S130" i="12"/>
  <c r="T130" i="12"/>
  <c r="U130" i="12"/>
  <c r="V130" i="12"/>
  <c r="H134" i="12"/>
  <c r="I134" i="12"/>
  <c r="J134" i="12"/>
  <c r="K134" i="12"/>
  <c r="L134" i="12"/>
  <c r="M134" i="12"/>
  <c r="N134" i="12"/>
  <c r="O134" i="12"/>
  <c r="P134" i="12"/>
  <c r="Q134" i="12"/>
  <c r="R134" i="12"/>
  <c r="S134" i="12"/>
  <c r="T134" i="12"/>
  <c r="U134" i="12"/>
  <c r="H135" i="12"/>
  <c r="I135" i="12"/>
  <c r="J135" i="12"/>
  <c r="K135" i="12"/>
  <c r="L135" i="12"/>
  <c r="M135" i="12"/>
  <c r="N135" i="12"/>
  <c r="O135" i="12"/>
  <c r="P135" i="12"/>
  <c r="Q135" i="12"/>
  <c r="R135" i="12"/>
  <c r="S135" i="12"/>
  <c r="T135" i="12"/>
  <c r="U135" i="12"/>
  <c r="V135" i="12"/>
  <c r="H136" i="12"/>
  <c r="I136" i="12"/>
  <c r="J136" i="12"/>
  <c r="K136" i="12"/>
  <c r="L136" i="12"/>
  <c r="M136" i="12"/>
  <c r="N136" i="12"/>
  <c r="O136" i="12"/>
  <c r="P136" i="12"/>
  <c r="Q136" i="12"/>
  <c r="R136" i="12"/>
  <c r="S136" i="12"/>
  <c r="T136" i="12"/>
  <c r="U136" i="12"/>
  <c r="V136" i="12"/>
  <c r="H137" i="12"/>
  <c r="I137" i="12"/>
  <c r="J137" i="12"/>
  <c r="K137" i="12"/>
  <c r="L137" i="12"/>
  <c r="M137" i="12"/>
  <c r="N137" i="12"/>
  <c r="O137" i="12"/>
  <c r="P137" i="12"/>
  <c r="Q137" i="12"/>
  <c r="R137" i="12"/>
  <c r="S137" i="12"/>
  <c r="T137" i="12"/>
  <c r="U137" i="12"/>
  <c r="H139" i="12"/>
  <c r="I139" i="12"/>
  <c r="J139" i="12"/>
  <c r="K139" i="12"/>
  <c r="L139" i="12"/>
  <c r="M139" i="12"/>
  <c r="N139" i="12"/>
  <c r="O139" i="12"/>
  <c r="P139" i="12"/>
  <c r="Q139" i="12"/>
  <c r="R139" i="12"/>
  <c r="S139" i="12"/>
  <c r="T139" i="12"/>
  <c r="U139" i="12"/>
  <c r="V139" i="12"/>
  <c r="H143" i="12"/>
  <c r="I143" i="12"/>
  <c r="J143" i="12"/>
  <c r="K143" i="12"/>
  <c r="L143" i="12"/>
  <c r="M143" i="12"/>
  <c r="N143" i="12"/>
  <c r="O143" i="12"/>
  <c r="P143" i="12"/>
  <c r="Q143" i="12"/>
  <c r="R143" i="12"/>
  <c r="S143" i="12"/>
  <c r="T143" i="12"/>
  <c r="U143" i="12"/>
  <c r="V143" i="12"/>
  <c r="H144" i="12"/>
  <c r="I144" i="12"/>
  <c r="J144" i="12"/>
  <c r="K144" i="12"/>
  <c r="L144" i="12"/>
  <c r="M144" i="12"/>
  <c r="N144" i="12"/>
  <c r="O144" i="12"/>
  <c r="P144" i="12"/>
  <c r="Q144" i="12"/>
  <c r="R144" i="12"/>
  <c r="S144" i="12"/>
  <c r="T144" i="12"/>
  <c r="U144" i="12"/>
  <c r="J145" i="12"/>
  <c r="K145" i="12"/>
  <c r="L145" i="12"/>
  <c r="M145" i="12"/>
  <c r="N145" i="12"/>
  <c r="O145" i="12"/>
  <c r="P145" i="12"/>
  <c r="Q145" i="12"/>
  <c r="R145" i="12"/>
  <c r="S145" i="12"/>
  <c r="T145" i="12"/>
  <c r="U145" i="12"/>
  <c r="V145" i="12"/>
  <c r="H146" i="12"/>
  <c r="I146" i="12"/>
  <c r="J146" i="12"/>
  <c r="K146" i="12"/>
  <c r="L146" i="12"/>
  <c r="M146" i="12"/>
  <c r="N146" i="12"/>
  <c r="O146" i="12"/>
  <c r="P146" i="12"/>
  <c r="Q146" i="12"/>
  <c r="R146" i="12"/>
  <c r="S146" i="12"/>
  <c r="T146" i="12"/>
  <c r="U146" i="12"/>
  <c r="V146" i="12"/>
  <c r="H147" i="12"/>
  <c r="I147" i="12"/>
  <c r="J147" i="12"/>
  <c r="L147" i="12"/>
  <c r="M147" i="12"/>
  <c r="N147" i="12"/>
  <c r="O147" i="12"/>
  <c r="P147" i="12"/>
  <c r="Q147" i="12"/>
  <c r="R147" i="12"/>
  <c r="S147" i="12"/>
  <c r="T147" i="12"/>
  <c r="U147" i="12"/>
  <c r="V147" i="12"/>
  <c r="H148" i="12"/>
  <c r="K148" i="12"/>
  <c r="L148" i="12"/>
  <c r="M148" i="12"/>
  <c r="N148" i="12"/>
  <c r="O148" i="12"/>
  <c r="P148" i="12"/>
  <c r="Q148" i="12"/>
  <c r="R148" i="12"/>
  <c r="S148" i="12"/>
  <c r="T148" i="12"/>
  <c r="U148" i="12"/>
  <c r="H149" i="12"/>
  <c r="I149" i="12"/>
  <c r="J149" i="12"/>
  <c r="K149" i="12"/>
  <c r="L149" i="12"/>
  <c r="M149" i="12"/>
  <c r="N149" i="12"/>
  <c r="O149" i="12"/>
  <c r="P149" i="12"/>
  <c r="Q149" i="12"/>
  <c r="R149" i="12"/>
  <c r="S149" i="12"/>
  <c r="T149" i="12"/>
  <c r="U149" i="12"/>
  <c r="V149" i="12"/>
  <c r="H153" i="12"/>
  <c r="I153" i="12"/>
  <c r="J153" i="12"/>
  <c r="K153" i="12"/>
  <c r="L153" i="12"/>
  <c r="M153" i="12"/>
  <c r="N153" i="12"/>
  <c r="O153" i="12"/>
  <c r="P153" i="12"/>
  <c r="Q153" i="12"/>
  <c r="R153" i="12"/>
  <c r="S153" i="12"/>
  <c r="T153" i="12"/>
  <c r="U153" i="12"/>
  <c r="H154" i="12"/>
  <c r="I154" i="12"/>
  <c r="J154" i="12"/>
  <c r="K154" i="12"/>
  <c r="L154" i="12"/>
  <c r="M154" i="12"/>
  <c r="N154" i="12"/>
  <c r="O154" i="12"/>
  <c r="P154" i="12"/>
  <c r="Q154" i="12"/>
  <c r="R154" i="12"/>
  <c r="S154" i="12"/>
  <c r="T154" i="12"/>
  <c r="U154" i="12"/>
  <c r="V154" i="12"/>
  <c r="H155" i="12"/>
  <c r="I155" i="12"/>
  <c r="J155" i="12"/>
  <c r="K155" i="12"/>
  <c r="L155" i="12"/>
  <c r="M155" i="12"/>
  <c r="N155" i="12"/>
  <c r="O155" i="12"/>
  <c r="P155" i="12"/>
  <c r="Q155" i="12"/>
  <c r="R155" i="12"/>
  <c r="S155" i="12"/>
  <c r="T155" i="12"/>
  <c r="U155" i="12"/>
  <c r="V155" i="12"/>
  <c r="H156" i="12"/>
  <c r="I156" i="12"/>
  <c r="J156" i="12"/>
  <c r="L156" i="12"/>
  <c r="M156" i="12"/>
  <c r="N156" i="12"/>
  <c r="O156" i="12"/>
  <c r="P156" i="12"/>
  <c r="Q156" i="12"/>
  <c r="R156" i="12"/>
  <c r="S156" i="12"/>
  <c r="T156" i="12"/>
  <c r="U156" i="12"/>
  <c r="V156" i="12"/>
  <c r="I157" i="12"/>
  <c r="J157" i="12"/>
  <c r="K157" i="12"/>
  <c r="L157" i="12"/>
  <c r="M157" i="12"/>
  <c r="N157" i="12"/>
  <c r="O157" i="12"/>
  <c r="P157" i="12"/>
  <c r="Q157" i="12"/>
  <c r="R157" i="12"/>
  <c r="S157" i="12"/>
  <c r="T157" i="12"/>
  <c r="U157" i="12"/>
  <c r="V157" i="12"/>
  <c r="H158" i="12"/>
  <c r="I158" i="12"/>
  <c r="J158" i="12"/>
  <c r="K158" i="12"/>
  <c r="L158" i="12"/>
  <c r="M158" i="12"/>
  <c r="N158" i="12"/>
  <c r="O158" i="12"/>
  <c r="P158" i="12"/>
  <c r="Q158" i="12"/>
  <c r="R158" i="12"/>
  <c r="S158" i="12"/>
  <c r="T158" i="12"/>
  <c r="U158" i="12"/>
  <c r="V158" i="12"/>
  <c r="Q159" i="12"/>
  <c r="R159" i="12"/>
  <c r="S159" i="12"/>
  <c r="T159" i="12"/>
  <c r="Q160" i="12"/>
  <c r="R160" i="12"/>
  <c r="S160" i="12"/>
  <c r="T160" i="12"/>
  <c r="U160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H163" i="12"/>
  <c r="I163" i="12"/>
  <c r="J163" i="12"/>
  <c r="K163" i="12"/>
  <c r="L163" i="12"/>
  <c r="M163" i="12"/>
  <c r="N163" i="12"/>
  <c r="O163" i="12"/>
  <c r="P163" i="12"/>
  <c r="Q163" i="12"/>
  <c r="R163" i="12"/>
  <c r="S163" i="12"/>
  <c r="T163" i="12"/>
  <c r="U163" i="12"/>
  <c r="V163" i="12"/>
  <c r="I164" i="12"/>
  <c r="J164" i="12"/>
  <c r="K164" i="12"/>
  <c r="L164" i="12"/>
  <c r="M164" i="12"/>
  <c r="N164" i="12"/>
  <c r="O164" i="12"/>
  <c r="P164" i="12"/>
  <c r="Q164" i="12"/>
  <c r="R164" i="12"/>
  <c r="S164" i="12"/>
  <c r="T164" i="12"/>
  <c r="U164" i="12"/>
  <c r="V164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H169" i="12"/>
  <c r="I169" i="12"/>
  <c r="J169" i="12"/>
  <c r="L169" i="12"/>
  <c r="M169" i="12"/>
  <c r="N169" i="12"/>
  <c r="O169" i="12"/>
  <c r="P169" i="12"/>
  <c r="Q169" i="12"/>
  <c r="R169" i="12"/>
  <c r="S169" i="12"/>
  <c r="T169" i="12"/>
  <c r="U169" i="12"/>
  <c r="V169" i="12"/>
  <c r="F172" i="12"/>
  <c r="G172" i="12"/>
  <c r="H172" i="12"/>
  <c r="I172" i="12"/>
  <c r="J172" i="12"/>
  <c r="K172" i="12"/>
  <c r="L172" i="12"/>
  <c r="N172" i="12"/>
  <c r="O172" i="12"/>
  <c r="P172" i="12"/>
  <c r="Q172" i="12"/>
  <c r="R172" i="12"/>
  <c r="S172" i="12"/>
  <c r="T172" i="12"/>
  <c r="U172" i="12"/>
  <c r="V172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F174" i="12"/>
  <c r="G174" i="12"/>
  <c r="H174" i="12"/>
  <c r="I174" i="12"/>
  <c r="J174" i="12"/>
  <c r="N174" i="12"/>
  <c r="P174" i="12"/>
  <c r="Q174" i="12"/>
  <c r="R174" i="12"/>
  <c r="S174" i="12"/>
  <c r="T174" i="12"/>
  <c r="U174" i="12"/>
  <c r="V174" i="12"/>
  <c r="F175" i="12"/>
  <c r="G175" i="12"/>
  <c r="H175" i="12"/>
  <c r="I175" i="12"/>
  <c r="J175" i="12"/>
  <c r="K175" i="12"/>
  <c r="L175" i="12"/>
  <c r="N175" i="12"/>
  <c r="Q175" i="12"/>
  <c r="T175" i="12"/>
  <c r="U175" i="12"/>
  <c r="V175" i="12"/>
  <c r="F176" i="12"/>
  <c r="G176" i="12"/>
  <c r="H176" i="12"/>
  <c r="I176" i="12"/>
  <c r="J176" i="12"/>
  <c r="L176" i="12"/>
  <c r="M176" i="12"/>
  <c r="N176" i="12"/>
  <c r="O176" i="12"/>
  <c r="P176" i="12"/>
  <c r="Q176" i="12"/>
  <c r="R176" i="12"/>
  <c r="S176" i="12"/>
  <c r="T176" i="12"/>
  <c r="U176" i="12"/>
  <c r="V176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F179" i="12"/>
  <c r="G179" i="12"/>
  <c r="H179" i="12"/>
  <c r="I179" i="12"/>
  <c r="J179" i="12"/>
  <c r="K179" i="12"/>
  <c r="L179" i="12"/>
  <c r="N179" i="12"/>
  <c r="P179" i="12"/>
  <c r="Q179" i="12"/>
  <c r="R179" i="12"/>
  <c r="S179" i="12"/>
  <c r="T179" i="12"/>
  <c r="U179" i="12"/>
  <c r="V179" i="12"/>
  <c r="D16" i="54"/>
  <c r="E16" i="54"/>
  <c r="F16" i="54"/>
  <c r="G16" i="54"/>
  <c r="H16" i="54"/>
  <c r="I16" i="54"/>
  <c r="J16" i="54"/>
  <c r="J46" i="54" s="1"/>
  <c r="K16" i="54"/>
  <c r="D28" i="54"/>
  <c r="E28" i="54"/>
  <c r="F28" i="54"/>
  <c r="G28" i="54"/>
  <c r="H28" i="54"/>
  <c r="I28" i="54"/>
  <c r="L28" i="54"/>
  <c r="L46" i="54" s="1"/>
  <c r="P28" i="54"/>
  <c r="Q28" i="54"/>
  <c r="R28" i="54"/>
  <c r="S28" i="54"/>
  <c r="T28" i="54"/>
  <c r="F37" i="54"/>
  <c r="G37" i="54"/>
  <c r="H37" i="54"/>
  <c r="I37" i="54"/>
  <c r="I46" i="54" s="1"/>
  <c r="J37" i="54"/>
  <c r="K37" i="54"/>
  <c r="K46" i="54" s="1"/>
  <c r="L37" i="54"/>
  <c r="M46" i="54"/>
  <c r="D16" i="53"/>
  <c r="E16" i="53"/>
  <c r="F16" i="53"/>
  <c r="G16" i="53"/>
  <c r="H16" i="53"/>
  <c r="I16" i="53"/>
  <c r="J16" i="53"/>
  <c r="K16" i="53"/>
  <c r="D28" i="53"/>
  <c r="E28" i="53"/>
  <c r="F28" i="53"/>
  <c r="G28" i="53"/>
  <c r="H28" i="53"/>
  <c r="I28" i="53"/>
  <c r="L28" i="53"/>
  <c r="P28" i="53"/>
  <c r="Q28" i="53"/>
  <c r="R28" i="53"/>
  <c r="S28" i="53"/>
  <c r="T28" i="53"/>
  <c r="F37" i="53"/>
  <c r="G37" i="53"/>
  <c r="H37" i="53"/>
  <c r="I37" i="53"/>
  <c r="I46" i="53"/>
  <c r="J37" i="53"/>
  <c r="J46" i="53"/>
  <c r="K37" i="53"/>
  <c r="K46" i="53"/>
  <c r="L37" i="53"/>
  <c r="L46" i="53"/>
  <c r="M46" i="53"/>
  <c r="D16" i="6"/>
  <c r="E16" i="6"/>
  <c r="F16" i="6"/>
  <c r="G16" i="6"/>
  <c r="H16" i="6"/>
  <c r="I16" i="6"/>
  <c r="J16" i="6"/>
  <c r="K16" i="6"/>
  <c r="K26" i="6"/>
  <c r="I9" i="21"/>
  <c r="I148" i="12"/>
  <c r="L26" i="6"/>
  <c r="J8" i="21" s="1"/>
  <c r="J27" i="6"/>
  <c r="O27" i="6"/>
  <c r="O28" i="6" s="1"/>
  <c r="Q27" i="6"/>
  <c r="Q28" i="6"/>
  <c r="S27" i="6"/>
  <c r="S28" i="6" s="1"/>
  <c r="D28" i="6"/>
  <c r="E28" i="6"/>
  <c r="F28" i="6"/>
  <c r="G28" i="6"/>
  <c r="H28" i="6"/>
  <c r="I28" i="6"/>
  <c r="I46" i="6" s="1"/>
  <c r="M28" i="6"/>
  <c r="M46" i="6" s="1"/>
  <c r="N28" i="6"/>
  <c r="P28" i="6"/>
  <c r="R28" i="6"/>
  <c r="T28" i="6"/>
  <c r="F37" i="6"/>
  <c r="G37" i="6"/>
  <c r="H37" i="6"/>
  <c r="I37" i="6"/>
  <c r="J37" i="6"/>
  <c r="J46" i="6"/>
  <c r="K37" i="6"/>
  <c r="K46" i="6" s="1"/>
  <c r="L37" i="6"/>
  <c r="S24" i="12"/>
  <c r="J16" i="19"/>
  <c r="J47" i="19" s="1"/>
  <c r="K16" i="19"/>
  <c r="L16" i="19"/>
  <c r="M16" i="19"/>
  <c r="M47" i="19" s="1"/>
  <c r="N16" i="19"/>
  <c r="O16" i="19"/>
  <c r="P16" i="19"/>
  <c r="Q16" i="19"/>
  <c r="R16" i="19"/>
  <c r="S16" i="19"/>
  <c r="S47" i="19"/>
  <c r="J28" i="19"/>
  <c r="K28" i="19"/>
  <c r="K47" i="19" s="1"/>
  <c r="L28" i="19"/>
  <c r="M28" i="19"/>
  <c r="N28" i="19"/>
  <c r="N47" i="19" s="1"/>
  <c r="O28" i="19"/>
  <c r="P28" i="19"/>
  <c r="Q28" i="19"/>
  <c r="R28" i="19"/>
  <c r="R47" i="19"/>
  <c r="S28" i="19"/>
  <c r="H37" i="19"/>
  <c r="J37" i="19"/>
  <c r="K37" i="19"/>
  <c r="L37" i="19"/>
  <c r="M37" i="19"/>
  <c r="N37" i="19"/>
  <c r="O37" i="19"/>
  <c r="P37" i="19"/>
  <c r="P47" i="19" s="1"/>
  <c r="Q37" i="19"/>
  <c r="R37" i="19"/>
  <c r="S37" i="19"/>
  <c r="I6" i="7"/>
  <c r="I16" i="7" s="1"/>
  <c r="I46" i="7" s="1"/>
  <c r="J6" i="7"/>
  <c r="I8" i="7"/>
  <c r="J8" i="7"/>
  <c r="I9" i="7"/>
  <c r="J9" i="7"/>
  <c r="J16" i="7" s="1"/>
  <c r="J46" i="7" s="1"/>
  <c r="I10" i="7"/>
  <c r="J10" i="7"/>
  <c r="I12" i="7"/>
  <c r="J12" i="7"/>
  <c r="I13" i="7"/>
  <c r="J13" i="7"/>
  <c r="H7" i="12"/>
  <c r="D16" i="7"/>
  <c r="E16" i="7"/>
  <c r="F16" i="7"/>
  <c r="G16" i="7"/>
  <c r="G46" i="7" s="1"/>
  <c r="H16" i="7"/>
  <c r="H46" i="7"/>
  <c r="K16" i="7"/>
  <c r="K46" i="7" s="1"/>
  <c r="L16" i="7"/>
  <c r="M16" i="7"/>
  <c r="M46" i="7" s="1"/>
  <c r="N16" i="7"/>
  <c r="O16" i="7"/>
  <c r="P16" i="7"/>
  <c r="P46" i="7"/>
  <c r="Q16" i="7"/>
  <c r="R16" i="7"/>
  <c r="S16" i="7"/>
  <c r="S46" i="7" s="1"/>
  <c r="J18" i="7"/>
  <c r="H79" i="12" s="1"/>
  <c r="J22" i="7"/>
  <c r="H105" i="12" s="1"/>
  <c r="P27" i="7"/>
  <c r="P28" i="7" s="1"/>
  <c r="D28" i="7"/>
  <c r="D46" i="7" s="1"/>
  <c r="I28" i="7"/>
  <c r="K28" i="7"/>
  <c r="L28" i="7"/>
  <c r="M28" i="7"/>
  <c r="N28" i="7"/>
  <c r="O28" i="7"/>
  <c r="Q28" i="7"/>
  <c r="R28" i="7"/>
  <c r="J29" i="7"/>
  <c r="H157" i="12" s="1"/>
  <c r="J30" i="7"/>
  <c r="J37" i="7"/>
  <c r="H164" i="12"/>
  <c r="J31" i="7"/>
  <c r="I33" i="7"/>
  <c r="J33" i="7"/>
  <c r="J34" i="7"/>
  <c r="I35" i="7"/>
  <c r="J35" i="7"/>
  <c r="D37" i="7"/>
  <c r="E37" i="7"/>
  <c r="E46" i="7"/>
  <c r="F37" i="7"/>
  <c r="F46" i="7" s="1"/>
  <c r="G37" i="7"/>
  <c r="H37" i="7"/>
  <c r="K37" i="7"/>
  <c r="L37" i="7"/>
  <c r="L46" i="7" s="1"/>
  <c r="M37" i="7"/>
  <c r="N37" i="7"/>
  <c r="O37" i="7"/>
  <c r="P37" i="7"/>
  <c r="Q37" i="7"/>
  <c r="R37" i="7"/>
  <c r="R46" i="7"/>
  <c r="J16" i="8"/>
  <c r="K16" i="8"/>
  <c r="L16" i="8"/>
  <c r="M16" i="8"/>
  <c r="M47" i="8" s="1"/>
  <c r="N16" i="8"/>
  <c r="O16" i="8"/>
  <c r="P16" i="8"/>
  <c r="P47" i="8" s="1"/>
  <c r="Q16" i="8"/>
  <c r="R16" i="8"/>
  <c r="S16" i="8"/>
  <c r="J28" i="8"/>
  <c r="K28" i="8"/>
  <c r="K47" i="8"/>
  <c r="L28" i="8"/>
  <c r="M28" i="8"/>
  <c r="N28" i="8"/>
  <c r="O28" i="8"/>
  <c r="O47" i="8" s="1"/>
  <c r="P28" i="8"/>
  <c r="Q28" i="8"/>
  <c r="Q47" i="8" s="1"/>
  <c r="R28" i="8"/>
  <c r="S28" i="8"/>
  <c r="J37" i="8"/>
  <c r="K37" i="8"/>
  <c r="L37" i="8"/>
  <c r="L47" i="8"/>
  <c r="M37" i="8"/>
  <c r="N37" i="8"/>
  <c r="O37" i="8"/>
  <c r="P37" i="8"/>
  <c r="Q37" i="8"/>
  <c r="R37" i="8"/>
  <c r="S37" i="8"/>
  <c r="N47" i="8"/>
  <c r="M6" i="18"/>
  <c r="M7" i="18"/>
  <c r="M8" i="18"/>
  <c r="M9" i="18"/>
  <c r="M10" i="18"/>
  <c r="K14" i="12"/>
  <c r="M11" i="18"/>
  <c r="K6" i="12" s="1"/>
  <c r="M13" i="18"/>
  <c r="M14" i="18"/>
  <c r="I16" i="18"/>
  <c r="I49" i="18" s="1"/>
  <c r="P49" i="18"/>
  <c r="M17" i="18"/>
  <c r="M20" i="18"/>
  <c r="K11" i="21" s="1"/>
  <c r="M21" i="18"/>
  <c r="M22" i="18"/>
  <c r="K2" i="21" s="1"/>
  <c r="M24" i="18"/>
  <c r="K8" i="21"/>
  <c r="K147" i="12"/>
  <c r="I26" i="18"/>
  <c r="J26" i="18"/>
  <c r="K26" i="18"/>
  <c r="K49" i="18" s="1"/>
  <c r="L26" i="18"/>
  <c r="N26" i="18"/>
  <c r="O26" i="18"/>
  <c r="P26" i="18"/>
  <c r="Q26" i="18"/>
  <c r="R26" i="18"/>
  <c r="M27" i="18"/>
  <c r="M28" i="18"/>
  <c r="M29" i="18"/>
  <c r="M30" i="18"/>
  <c r="M31" i="18"/>
  <c r="K156" i="12"/>
  <c r="M32" i="18"/>
  <c r="K169" i="12" s="1"/>
  <c r="M33" i="18"/>
  <c r="M35" i="18"/>
  <c r="M36" i="18"/>
  <c r="M38" i="18" s="1"/>
  <c r="Q37" i="18"/>
  <c r="Q38" i="18"/>
  <c r="I38" i="18"/>
  <c r="J38" i="18"/>
  <c r="K38" i="18"/>
  <c r="L38" i="18"/>
  <c r="N38" i="18"/>
  <c r="N49" i="18"/>
  <c r="O38" i="18"/>
  <c r="P38" i="18"/>
  <c r="R38" i="18"/>
  <c r="S38" i="18"/>
  <c r="M40" i="18"/>
  <c r="M41" i="18"/>
  <c r="K176" i="12"/>
  <c r="M43" i="18"/>
  <c r="M44" i="18"/>
  <c r="M46" i="18"/>
  <c r="M48" i="18" s="1"/>
  <c r="K57" i="12"/>
  <c r="D48" i="18"/>
  <c r="D49" i="18"/>
  <c r="E48" i="18"/>
  <c r="E49" i="18"/>
  <c r="F48" i="18"/>
  <c r="F49" i="18"/>
  <c r="G48" i="18"/>
  <c r="H48" i="18"/>
  <c r="H49" i="18" s="1"/>
  <c r="I48" i="18"/>
  <c r="J48" i="18"/>
  <c r="K48" i="18"/>
  <c r="L48" i="18"/>
  <c r="N48" i="18"/>
  <c r="O48" i="18"/>
  <c r="O49" i="18" s="1"/>
  <c r="P48" i="18"/>
  <c r="Q48" i="18"/>
  <c r="R48" i="18"/>
  <c r="S48" i="18"/>
  <c r="G49" i="18"/>
  <c r="G9" i="4"/>
  <c r="H9" i="4"/>
  <c r="I9" i="4"/>
  <c r="J9" i="4"/>
  <c r="J17" i="4" s="1"/>
  <c r="K9" i="4"/>
  <c r="K17" i="4" s="1"/>
  <c r="L9" i="4"/>
  <c r="L17" i="4"/>
  <c r="M9" i="4"/>
  <c r="O9" i="4"/>
  <c r="O17" i="4"/>
  <c r="P9" i="4"/>
  <c r="P17" i="4" s="1"/>
  <c r="Q9" i="4"/>
  <c r="R9" i="4"/>
  <c r="R17" i="4"/>
  <c r="M17" i="4"/>
  <c r="N17" i="4"/>
  <c r="Q17" i="4"/>
  <c r="S17" i="4"/>
  <c r="G24" i="4"/>
  <c r="H24" i="4"/>
  <c r="I24" i="4"/>
  <c r="J24" i="4"/>
  <c r="H111" i="12" s="1"/>
  <c r="K24" i="4"/>
  <c r="I111" i="12" s="1"/>
  <c r="G25" i="4"/>
  <c r="E2" i="21"/>
  <c r="H25" i="4"/>
  <c r="F2" i="21" s="1"/>
  <c r="I25" i="4"/>
  <c r="G2" i="21"/>
  <c r="J25" i="4"/>
  <c r="H127" i="12" s="1"/>
  <c r="K25" i="4"/>
  <c r="I127" i="12"/>
  <c r="M28" i="4"/>
  <c r="N28" i="4"/>
  <c r="N29" i="4" s="1"/>
  <c r="R28" i="4"/>
  <c r="R29" i="4"/>
  <c r="L29" i="4"/>
  <c r="M29" i="4"/>
  <c r="O29" i="4"/>
  <c r="P29" i="4"/>
  <c r="Q29" i="4"/>
  <c r="S29" i="4"/>
  <c r="M33" i="4"/>
  <c r="M38" i="4" s="1"/>
  <c r="M49" i="4" s="1"/>
  <c r="M37" i="4"/>
  <c r="N37" i="4"/>
  <c r="N38" i="4" s="1"/>
  <c r="O37" i="4"/>
  <c r="O38" i="4" s="1"/>
  <c r="P37" i="4"/>
  <c r="P38" i="4"/>
  <c r="P49" i="4" s="1"/>
  <c r="R37" i="4"/>
  <c r="R38" i="4"/>
  <c r="I38" i="4"/>
  <c r="I37" i="4" s="1"/>
  <c r="J38" i="4"/>
  <c r="J37" i="4"/>
  <c r="K38" i="4"/>
  <c r="K49" i="4" s="1"/>
  <c r="L38" i="4"/>
  <c r="L49" i="4" s="1"/>
  <c r="Q38" i="4"/>
  <c r="S38" i="4"/>
  <c r="O41" i="4"/>
  <c r="Q41" i="4"/>
  <c r="Q49" i="4" s="1"/>
  <c r="R41" i="4"/>
  <c r="P175" i="12"/>
  <c r="R46" i="4"/>
  <c r="P61" i="12" s="1"/>
  <c r="M48" i="4"/>
  <c r="N48" i="4"/>
  <c r="O48" i="4"/>
  <c r="T48" i="4"/>
  <c r="W48" i="4"/>
  <c r="W49" i="4" s="1"/>
  <c r="J16" i="17"/>
  <c r="K16" i="17"/>
  <c r="L16" i="17"/>
  <c r="M16" i="17"/>
  <c r="N16" i="17"/>
  <c r="N47" i="17" s="1"/>
  <c r="O16" i="17"/>
  <c r="O47" i="17" s="1"/>
  <c r="P16" i="17"/>
  <c r="Q16" i="17"/>
  <c r="Q47" i="17"/>
  <c r="R16" i="17"/>
  <c r="R47" i="17" s="1"/>
  <c r="S16" i="17"/>
  <c r="K27" i="17"/>
  <c r="K28" i="17"/>
  <c r="K47" i="17" s="1"/>
  <c r="J28" i="17"/>
  <c r="J47" i="17"/>
  <c r="L28" i="17"/>
  <c r="M28" i="17"/>
  <c r="M47" i="17" s="1"/>
  <c r="N28" i="17"/>
  <c r="O28" i="17"/>
  <c r="P28" i="17"/>
  <c r="Q28" i="17"/>
  <c r="R28" i="17"/>
  <c r="S28" i="17"/>
  <c r="S47" i="17" s="1"/>
  <c r="J37" i="17"/>
  <c r="K37" i="17"/>
  <c r="L37" i="17"/>
  <c r="M37" i="17"/>
  <c r="N37" i="17"/>
  <c r="O37" i="17"/>
  <c r="P37" i="17"/>
  <c r="Q37" i="17"/>
  <c r="R37" i="17"/>
  <c r="S37" i="17"/>
  <c r="L47" i="17"/>
  <c r="F17" i="2"/>
  <c r="G17" i="2"/>
  <c r="H17" i="2"/>
  <c r="I17" i="2"/>
  <c r="J17" i="2"/>
  <c r="K17" i="2"/>
  <c r="L17" i="2"/>
  <c r="N17" i="2"/>
  <c r="O17" i="2"/>
  <c r="H29" i="2"/>
  <c r="I29" i="2"/>
  <c r="J29" i="2"/>
  <c r="K29" i="2"/>
  <c r="L29" i="2"/>
  <c r="N29" i="2"/>
  <c r="O29" i="2"/>
  <c r="H39" i="2"/>
  <c r="I39" i="2"/>
  <c r="J39" i="2"/>
  <c r="K39" i="2"/>
  <c r="L39" i="2"/>
  <c r="N39" i="2"/>
  <c r="O39" i="2"/>
  <c r="O5" i="1"/>
  <c r="O7" i="1" s="1"/>
  <c r="O6" i="1"/>
  <c r="P6" i="1"/>
  <c r="P7" i="1" s="1"/>
  <c r="P16" i="1" s="1"/>
  <c r="D7" i="1"/>
  <c r="D16" i="1" s="1"/>
  <c r="D46" i="1" s="1"/>
  <c r="E7" i="1"/>
  <c r="E16" i="1"/>
  <c r="E46" i="1" s="1"/>
  <c r="F7" i="1"/>
  <c r="F16" i="1" s="1"/>
  <c r="F46" i="1"/>
  <c r="G7" i="1"/>
  <c r="G16" i="1" s="1"/>
  <c r="G46" i="1" s="1"/>
  <c r="H7" i="1"/>
  <c r="H16" i="1"/>
  <c r="H46" i="1" s="1"/>
  <c r="I7" i="1"/>
  <c r="I16" i="1"/>
  <c r="I46" i="1"/>
  <c r="J7" i="1"/>
  <c r="H19" i="12" s="1"/>
  <c r="K7" i="1"/>
  <c r="I19" i="12"/>
  <c r="M7" i="1"/>
  <c r="K19" i="12" s="1"/>
  <c r="N7" i="1"/>
  <c r="L19" i="12" s="1"/>
  <c r="M10" i="1"/>
  <c r="M16" i="1" s="1"/>
  <c r="M46" i="1" s="1"/>
  <c r="O10" i="1"/>
  <c r="L16" i="1"/>
  <c r="L46" i="1" s="1"/>
  <c r="S46" i="1"/>
  <c r="P18" i="1"/>
  <c r="O19" i="1"/>
  <c r="P20" i="1"/>
  <c r="N10" i="21" s="1"/>
  <c r="O23" i="1"/>
  <c r="O27" i="1"/>
  <c r="D27" i="1"/>
  <c r="E27" i="1"/>
  <c r="F27" i="1"/>
  <c r="G27" i="1"/>
  <c r="H27" i="1"/>
  <c r="I27" i="1"/>
  <c r="J27" i="1"/>
  <c r="K27" i="1"/>
  <c r="L27" i="1"/>
  <c r="M27" i="1"/>
  <c r="N27" i="1"/>
  <c r="Q27" i="1"/>
  <c r="Q46" i="1" s="1"/>
  <c r="R27" i="1"/>
  <c r="S27" i="1"/>
  <c r="P28" i="1"/>
  <c r="P36" i="1"/>
  <c r="M34" i="1"/>
  <c r="M36" i="1" s="1"/>
  <c r="K36" i="1"/>
  <c r="L36" i="1"/>
  <c r="N36" i="1"/>
  <c r="O36" i="1"/>
  <c r="Q36" i="1"/>
  <c r="R36" i="1"/>
  <c r="R46" i="1" s="1"/>
  <c r="S36" i="1"/>
  <c r="O37" i="1"/>
  <c r="O40" i="1"/>
  <c r="M172" i="12" s="1"/>
  <c r="O42" i="1"/>
  <c r="B2" i="21"/>
  <c r="C2" i="21"/>
  <c r="D2" i="21"/>
  <c r="J2" i="21"/>
  <c r="G3" i="21"/>
  <c r="J3" i="21"/>
  <c r="K3" i="21"/>
  <c r="L3" i="21"/>
  <c r="L2" i="21" s="1"/>
  <c r="M3" i="21"/>
  <c r="M2" i="21" s="1"/>
  <c r="N3" i="21"/>
  <c r="N2" i="21" s="1"/>
  <c r="L8" i="21"/>
  <c r="M8" i="21"/>
  <c r="N8" i="21"/>
  <c r="G9" i="21"/>
  <c r="H9" i="21"/>
  <c r="L9" i="21"/>
  <c r="M9" i="21"/>
  <c r="N9" i="21"/>
  <c r="B10" i="21"/>
  <c r="C10" i="21"/>
  <c r="D10" i="21"/>
  <c r="E10" i="21"/>
  <c r="F10" i="21"/>
  <c r="G10" i="21"/>
  <c r="H10" i="21"/>
  <c r="I10" i="21"/>
  <c r="J10" i="21"/>
  <c r="L10" i="21"/>
  <c r="M10" i="21"/>
  <c r="G11" i="21"/>
  <c r="H11" i="21"/>
  <c r="I11" i="21"/>
  <c r="J11" i="21"/>
  <c r="L11" i="21"/>
  <c r="M11" i="21"/>
  <c r="B12" i="21"/>
  <c r="C12" i="21"/>
  <c r="D12" i="21"/>
  <c r="E12" i="21"/>
  <c r="F12" i="21"/>
  <c r="G12" i="21"/>
  <c r="H12" i="21"/>
  <c r="I12" i="21"/>
  <c r="J12" i="21"/>
  <c r="L12" i="21"/>
  <c r="M12" i="21"/>
  <c r="N12" i="21"/>
  <c r="L13" i="21"/>
  <c r="M13" i="21"/>
  <c r="N13" i="21"/>
  <c r="L14" i="21"/>
  <c r="M14" i="21"/>
  <c r="N14" i="21"/>
  <c r="Q47" i="19"/>
  <c r="M84" i="12"/>
  <c r="K70" i="12"/>
  <c r="R38" i="12"/>
  <c r="K12" i="21"/>
  <c r="O175" i="12"/>
  <c r="N93" i="12"/>
  <c r="J28" i="7"/>
  <c r="K10" i="21"/>
  <c r="I37" i="7"/>
  <c r="N46" i="7"/>
  <c r="L47" i="19"/>
  <c r="K27" i="6"/>
  <c r="I3" i="21"/>
  <c r="K44" i="11"/>
  <c r="Y49" i="4"/>
  <c r="Z47" i="19"/>
  <c r="Z47" i="8"/>
  <c r="Q49" i="18"/>
  <c r="N19" i="12"/>
  <c r="K29" i="4"/>
  <c r="I2" i="21"/>
  <c r="M26" i="18"/>
  <c r="K16" i="1"/>
  <c r="K46" i="1"/>
  <c r="T49" i="4"/>
  <c r="S30" i="12"/>
  <c r="L28" i="6"/>
  <c r="L46" i="6"/>
  <c r="J16" i="1"/>
  <c r="J46" i="1" s="1"/>
  <c r="K9" i="21"/>
  <c r="J9" i="21"/>
  <c r="J148" i="12"/>
  <c r="R47" i="2" l="1"/>
  <c r="V47" i="2"/>
  <c r="S47" i="2"/>
  <c r="T47" i="2"/>
  <c r="X47" i="2"/>
  <c r="W47" i="2"/>
  <c r="P47" i="2"/>
  <c r="AA47" i="2"/>
  <c r="AC169" i="12"/>
  <c r="AA46" i="7"/>
  <c r="AA49" i="18"/>
  <c r="M19" i="12"/>
  <c r="O16" i="1"/>
  <c r="O46" i="1" s="1"/>
  <c r="N49" i="4"/>
  <c r="S49" i="18"/>
  <c r="O47" i="19"/>
  <c r="N11" i="21"/>
  <c r="N16" i="1"/>
  <c r="N46" i="1" s="1"/>
  <c r="R49" i="4"/>
  <c r="R49" i="18"/>
  <c r="R47" i="8"/>
  <c r="Y47" i="17"/>
  <c r="U47" i="17"/>
  <c r="O49" i="4"/>
  <c r="L49" i="18"/>
  <c r="S47" i="8"/>
  <c r="S49" i="4"/>
  <c r="H2" i="21"/>
  <c r="M175" i="12"/>
  <c r="P27" i="1"/>
  <c r="P46" i="1" s="1"/>
  <c r="P47" i="17"/>
  <c r="M49" i="18"/>
  <c r="O46" i="7"/>
  <c r="U17" i="4"/>
  <c r="U49" i="4" s="1"/>
  <c r="X46" i="1"/>
  <c r="Q47" i="2"/>
  <c r="H3" i="21"/>
  <c r="J49" i="18"/>
  <c r="J47" i="8"/>
  <c r="Q46" i="7"/>
  <c r="H50" i="12"/>
  <c r="Z47" i="2"/>
  <c r="U47" i="2"/>
  <c r="Y47" i="2"/>
  <c r="W47" i="8"/>
  <c r="AA46" i="1"/>
</calcChain>
</file>

<file path=xl/comments1.xml><?xml version="1.0" encoding="utf-8"?>
<comments xmlns="http://schemas.openxmlformats.org/spreadsheetml/2006/main">
  <authors>
    <author>Silvia</author>
  </authors>
  <commentList>
    <comment ref="AB45" authorId="0">
      <text>
        <r>
          <rPr>
            <b/>
            <sz val="9"/>
            <color indexed="81"/>
            <rFont val="Tahoma"/>
            <family val="2"/>
          </rPr>
          <t>Silvia:</t>
        </r>
        <r>
          <rPr>
            <sz val="9"/>
            <color indexed="81"/>
            <rFont val="Tahoma"/>
            <family val="2"/>
          </rPr>
          <t xml:space="preserve">
data in update</t>
        </r>
      </text>
    </comment>
    <comment ref="AC45" authorId="0">
      <text>
        <r>
          <rPr>
            <b/>
            <sz val="9"/>
            <color indexed="81"/>
            <rFont val="Tahoma"/>
            <family val="2"/>
          </rPr>
          <t>Silvia:</t>
        </r>
        <r>
          <rPr>
            <sz val="9"/>
            <color indexed="81"/>
            <rFont val="Tahoma"/>
            <family val="2"/>
          </rPr>
          <t xml:space="preserve">
data in update</t>
        </r>
      </text>
    </comment>
  </commentList>
</comments>
</file>

<file path=xl/sharedStrings.xml><?xml version="1.0" encoding="utf-8"?>
<sst xmlns="http://schemas.openxmlformats.org/spreadsheetml/2006/main" count="826" uniqueCount="206">
  <si>
    <t>RGA (ESSG-9)</t>
  </si>
  <si>
    <t>RGA (ESSG-8)</t>
  </si>
  <si>
    <t>RGI (ESSG-9)</t>
  </si>
  <si>
    <t>RGI (ESSG-8)</t>
  </si>
  <si>
    <t>Red Fescue (ESSG-9)</t>
  </si>
  <si>
    <t>Red Fescue (ESSG-8)</t>
  </si>
  <si>
    <t>Dactyle (ESGG-9)</t>
  </si>
  <si>
    <t>France</t>
  </si>
  <si>
    <t>Danemark</t>
  </si>
  <si>
    <t>ESGG - Belgique/Belgium</t>
  </si>
  <si>
    <t>SURFACES EN MULTIPLICATION / AREA FOR SEED GROWING - ha</t>
  </si>
  <si>
    <t>Espèces/Species</t>
  </si>
  <si>
    <t>2006*</t>
  </si>
  <si>
    <t>Orge printemps/summer barley</t>
  </si>
  <si>
    <t>Orge hiver/winter barley</t>
  </si>
  <si>
    <t>Total ORGE</t>
  </si>
  <si>
    <t>Seigle/rye</t>
  </si>
  <si>
    <t>Triticale</t>
  </si>
  <si>
    <t>Avoine/Oat</t>
  </si>
  <si>
    <t>Blé printemps/summer wheat</t>
  </si>
  <si>
    <t>Blé hiver/winter wheat</t>
  </si>
  <si>
    <t>Epeautre</t>
  </si>
  <si>
    <t>Maïs</t>
  </si>
  <si>
    <t>Riz/rice</t>
  </si>
  <si>
    <t>Total Céréales/Cereals</t>
  </si>
  <si>
    <t>Dactylis glomerata</t>
  </si>
  <si>
    <t>Phleum</t>
  </si>
  <si>
    <t>Poa pratensis- Kentucky bluegrass</t>
  </si>
  <si>
    <t>Festuca rubra</t>
  </si>
  <si>
    <t>Festuca ovina</t>
  </si>
  <si>
    <t>Festuca pratensis/Meadow fescue</t>
  </si>
  <si>
    <t>Festuca arundinacea/Tall fescue</t>
  </si>
  <si>
    <t xml:space="preserve"> </t>
  </si>
  <si>
    <t>Lolium perenne</t>
  </si>
  <si>
    <t>Lolium multiflorum</t>
  </si>
  <si>
    <t>Autres graminées/others</t>
  </si>
  <si>
    <t>Total graminées/grass seeds</t>
  </si>
  <si>
    <t>Tréfle violet/red clover</t>
  </si>
  <si>
    <t>Tréfle blanc/white clover</t>
  </si>
  <si>
    <t>Luzerne/alfa alfa</t>
  </si>
  <si>
    <t>Vesces communes/common vetch</t>
  </si>
  <si>
    <t>Féveroles/beans</t>
  </si>
  <si>
    <t>Lupin</t>
  </si>
  <si>
    <t>Pois protéagineux/peas</t>
  </si>
  <si>
    <t>Autres légumineuses/others</t>
  </si>
  <si>
    <t>Total légumineuses/legumes</t>
  </si>
  <si>
    <t>Lin textile/Flax</t>
  </si>
  <si>
    <t>Lin oléagineux/oil lin seed</t>
  </si>
  <si>
    <t>Colza hybride/hybrid rape</t>
  </si>
  <si>
    <t>Colza Lignée/Standard colza</t>
  </si>
  <si>
    <t>Tournesol/sunflower</t>
  </si>
  <si>
    <t>Pommes de terre/patatoe seeds</t>
  </si>
  <si>
    <t>Potagères/vegetable seeds</t>
  </si>
  <si>
    <t>Betteraves/ beet seeds</t>
  </si>
  <si>
    <t>Autres espèces/other species</t>
  </si>
  <si>
    <t>Total général/all species</t>
  </si>
  <si>
    <t>* chiffres provisoires, uniquement pour la région flamande</t>
  </si>
  <si>
    <t>ESGG -Danemark/Denmark</t>
  </si>
  <si>
    <t>Avoine/oats</t>
  </si>
  <si>
    <t>Blé dur/durum wheat</t>
  </si>
  <si>
    <t>Lolium hybridum</t>
  </si>
  <si>
    <t>Lin textile/flax</t>
  </si>
  <si>
    <t>ESGG -Finlande/Finland</t>
  </si>
  <si>
    <t>Lolium westerwold</t>
  </si>
  <si>
    <t>Lin textile</t>
  </si>
  <si>
    <t>ESGG - France</t>
  </si>
  <si>
    <t>Epautre/Spelt</t>
  </si>
  <si>
    <t>Triticale/tritical</t>
  </si>
  <si>
    <t>Luzerne/alfalfa</t>
  </si>
  <si>
    <t>-</t>
  </si>
  <si>
    <t>Soja</t>
  </si>
  <si>
    <t>ESGG - Allemagne/Germany</t>
  </si>
  <si>
    <t>Seigle d'été/summer rye</t>
  </si>
  <si>
    <t>Seigle d'hiver/winter rye</t>
  </si>
  <si>
    <t>Triticale d'été/summer tritical</t>
  </si>
  <si>
    <t>Triticale d'hiver/winter tritical</t>
  </si>
  <si>
    <t>Autres céréales/others</t>
  </si>
  <si>
    <t>Dactylis glomerata/Cocksfoot</t>
  </si>
  <si>
    <t>Lolium multiflorum - 1</t>
  </si>
  <si>
    <t>Lolium multiflorum - 2</t>
  </si>
  <si>
    <t>Trifolium pratens</t>
  </si>
  <si>
    <t>Trifolium repens</t>
  </si>
  <si>
    <t>Leguminosem</t>
  </si>
  <si>
    <t>Vicia faba</t>
  </si>
  <si>
    <t>Pisum sativum</t>
  </si>
  <si>
    <t>Lupinus spec.</t>
  </si>
  <si>
    <t>Vicia sativa</t>
  </si>
  <si>
    <t>Vicia villosa</t>
  </si>
  <si>
    <t>Linum usitatiss.</t>
  </si>
  <si>
    <t>autres oléagineux / other oil seeds</t>
  </si>
  <si>
    <t>Pomme de terre/potatoes seeds</t>
  </si>
  <si>
    <t>Total général / all species</t>
  </si>
  <si>
    <t>ESGG - ITALY</t>
  </si>
  <si>
    <t>Orge barley</t>
  </si>
  <si>
    <t>Blé tendre</t>
  </si>
  <si>
    <t xml:space="preserve">   </t>
  </si>
  <si>
    <t>Autres/others</t>
  </si>
  <si>
    <t>Lolium Perenne</t>
  </si>
  <si>
    <t>Lolium Hybridum</t>
  </si>
  <si>
    <t>Lolium Multiflorum</t>
  </si>
  <si>
    <t>Trèfle Alexandrie</t>
  </si>
  <si>
    <t>Trèfle blanc/white clover</t>
  </si>
  <si>
    <t>Trèfle Incarnat</t>
  </si>
  <si>
    <t>Trèfle de Perse</t>
  </si>
  <si>
    <t>Trèfle Violet</t>
  </si>
  <si>
    <t>Luzerne</t>
  </si>
  <si>
    <t>Vesce velue/ vicia villosa</t>
  </si>
  <si>
    <t>Vesce commune/ common vetch</t>
  </si>
  <si>
    <t xml:space="preserve"> Potagères/vegetable seeds (total) </t>
  </si>
  <si>
    <t>TOTAL GENERAL</t>
  </si>
  <si>
    <t>ESGG - Suède/Sweden</t>
  </si>
  <si>
    <t>estimated (05/2023)</t>
  </si>
  <si>
    <t>Hyb clover</t>
  </si>
  <si>
    <t>ESGG - Royaume-Uni/United Kingdom</t>
  </si>
  <si>
    <t>ESGG - Pays-Bas/Netherlands</t>
  </si>
  <si>
    <t>Seigle/rye summer + winter</t>
  </si>
  <si>
    <t>Triticale summer + winter</t>
  </si>
  <si>
    <t>Colza/rape</t>
  </si>
  <si>
    <t>Winter wheat</t>
  </si>
  <si>
    <t>Prev 2023</t>
  </si>
  <si>
    <t>2021/2022</t>
  </si>
  <si>
    <t>Belgium</t>
  </si>
  <si>
    <t>Germany</t>
  </si>
  <si>
    <t>Denmark</t>
  </si>
  <si>
    <t>Italy</t>
  </si>
  <si>
    <t>Sweden</t>
  </si>
  <si>
    <t>United-Kingdom</t>
  </si>
  <si>
    <t>Finland</t>
  </si>
  <si>
    <t>Durum wheat</t>
  </si>
  <si>
    <t>Winter barley</t>
  </si>
  <si>
    <t>Summer barley</t>
  </si>
  <si>
    <t>Tritical</t>
  </si>
  <si>
    <t>Rye</t>
  </si>
  <si>
    <t>Betterave</t>
  </si>
  <si>
    <t>Italie</t>
  </si>
  <si>
    <t>Vegetable seed</t>
  </si>
  <si>
    <t>2020/2019</t>
  </si>
  <si>
    <t>Cocksfoot</t>
  </si>
  <si>
    <t>Netherland</t>
  </si>
  <si>
    <t>Kentucky bluegrass</t>
  </si>
  <si>
    <t>Red fescue</t>
  </si>
  <si>
    <t>Meadow fescue</t>
  </si>
  <si>
    <t>Tall fescue</t>
  </si>
  <si>
    <t>Sheep fescue</t>
  </si>
  <si>
    <t>Perennial ryegrass</t>
  </si>
  <si>
    <t>Czech republic</t>
  </si>
  <si>
    <t>Poland</t>
  </si>
  <si>
    <t>Hybrid ryegrass</t>
  </si>
  <si>
    <t>Italian ryegrass</t>
  </si>
  <si>
    <t>Red clover</t>
  </si>
  <si>
    <t>White clover</t>
  </si>
  <si>
    <t>Alfalfa</t>
  </si>
  <si>
    <t>Rape</t>
  </si>
  <si>
    <t>UK</t>
  </si>
  <si>
    <t>SURFACES acceptées à la certification</t>
  </si>
  <si>
    <t>EU 27</t>
  </si>
  <si>
    <t xml:space="preserve">AGROSTIS CANINA L.    </t>
  </si>
  <si>
    <t xml:space="preserve">AGROSTIS GIGANTEA ROTH. </t>
  </si>
  <si>
    <t xml:space="preserve">AGROSTIS STOLONIFERA L. </t>
  </si>
  <si>
    <t>AGROSTIS TENUIS.CAPILL.</t>
  </si>
  <si>
    <t xml:space="preserve">ARRHENATHERUM ELATIUS L </t>
  </si>
  <si>
    <t xml:space="preserve">DACTYLIS GLOMERATA L.   </t>
  </si>
  <si>
    <t>FESTUCA ARUNDINACAE SCH.</t>
  </si>
  <si>
    <t xml:space="preserve">FESTUCA OVINA L.        </t>
  </si>
  <si>
    <t xml:space="preserve">FESTUCA PRATENSIS HUDS. </t>
  </si>
  <si>
    <t xml:space="preserve">FESTUCA RUBRA L.        </t>
  </si>
  <si>
    <t>FESTULOLIUM</t>
  </si>
  <si>
    <t xml:space="preserve">LOLIUM MULTIFLORUM LAM. </t>
  </si>
  <si>
    <t xml:space="preserve">LOLIUM PER. L. </t>
  </si>
  <si>
    <t>LOLIUM X BOUCHEANUM</t>
  </si>
  <si>
    <t xml:space="preserve">PHLEUM BERTOLONII (DC)  </t>
  </si>
  <si>
    <t xml:space="preserve">PHLEUM PRATENSE L.      </t>
  </si>
  <si>
    <t>POA NEMORALIS L.</t>
  </si>
  <si>
    <t>POA PRATENSIS L.</t>
  </si>
  <si>
    <t xml:space="preserve">POA TRIVIALIS L.et PALUSTRIS       </t>
  </si>
  <si>
    <t xml:space="preserve">GRAMINAE (FOURRAG.)  </t>
  </si>
  <si>
    <t>HEDYSARIUM CORONARIUM L.</t>
  </si>
  <si>
    <t xml:space="preserve">MEDICAGO LUPULINA L.    </t>
  </si>
  <si>
    <t>MEDICAGO SATIVA L. (ECOT</t>
  </si>
  <si>
    <t>MEDICAGO SATIVA L. (VARI</t>
  </si>
  <si>
    <t>ONOBRICHIS VICIIFOLIA SC</t>
  </si>
  <si>
    <t xml:space="preserve">PISUM SATIVUM L. PARTIM </t>
  </si>
  <si>
    <t>TRIFOLIUM ALEXANDRINUM L</t>
  </si>
  <si>
    <t xml:space="preserve">TRIFOLIUM HYBRIDUM L.   </t>
  </si>
  <si>
    <t xml:space="preserve">TRIFOLIUM INCARNATUM L. </t>
  </si>
  <si>
    <t xml:space="preserve">TRIFOLIUM PRATENSE L.   </t>
  </si>
  <si>
    <t xml:space="preserve">TRIFOLIUM REPENS L.     </t>
  </si>
  <si>
    <t>TRIFOLIUM REPENS L. GIGA</t>
  </si>
  <si>
    <t>TRIFOLIUM RESUPINATUM L.</t>
  </si>
  <si>
    <t xml:space="preserve">VICIA FABA L. PARTIM    </t>
  </si>
  <si>
    <t xml:space="preserve">VICIA SATIVA L.         </t>
  </si>
  <si>
    <t xml:space="preserve">VICIA VILLOSA ROTH.     </t>
  </si>
  <si>
    <t>LEGUMINOSAE (FOURRAG.)</t>
  </si>
  <si>
    <t>2011 ESGG</t>
  </si>
  <si>
    <t>2011 autres pays</t>
  </si>
  <si>
    <t>2011 EU 27</t>
  </si>
  <si>
    <t>graminées</t>
  </si>
  <si>
    <t>2010 ESGG</t>
  </si>
  <si>
    <t xml:space="preserve"> 2010 autres pays</t>
  </si>
  <si>
    <t>2010 EU 27</t>
  </si>
  <si>
    <t>légumineuses</t>
  </si>
  <si>
    <t>ESGG -Pologne/Poland</t>
  </si>
  <si>
    <t>Epeautre/Spelt</t>
  </si>
  <si>
    <t>Poa pratensis</t>
  </si>
  <si>
    <t>Festuca pratensis</t>
  </si>
  <si>
    <t>Festuca arundinacea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</si>
</sst>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\ _F_-;\-* #,##0\ _F_-;_-* &quot;-&quot;\ _F_-;_-@_-"/>
    <numFmt numFmtId="165" formatCode="_-* #,##0.00\ _F_-;\-* #,##0.00\ _F_-;_-* &quot;-&quot;??\ _F_-;_-@_-"/>
    <numFmt numFmtId="166" formatCode="00"/>
    <numFmt numFmtId="167" formatCode="_-* #,##0\ _€_-;\-* #,##0\ _€_-;_-* &quot;-&quot;??\ _€_-;_-@_-"/>
    <numFmt numFmtId="168" formatCode="#,##0\ _€"/>
    <numFmt numFmtId="169" formatCode="_-* #,##0\ _F_-;\-* #,##0\ _F_-;_-* &quot;- &quot;_F_-;_-@_-"/>
    <numFmt numFmtId="170" formatCode="_-* #,##0_-;\-* #,##0_-;_-* &quot;-&quot;??_-;_-@_-"/>
  </numFmts>
  <fonts count="4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 val="double"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sz val="15"/>
      <name val="Arial"/>
      <family val="2"/>
    </font>
    <font>
      <b/>
      <i/>
      <sz val="14"/>
      <name val="Arial"/>
      <family val="2"/>
    </font>
    <font>
      <b/>
      <sz val="15"/>
      <name val="Arial"/>
      <family val="2"/>
    </font>
    <font>
      <b/>
      <i/>
      <u/>
      <sz val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4.9989318521683403E-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  <charset val="1"/>
    </font>
    <font>
      <b/>
      <sz val="10"/>
      <color theme="1"/>
      <name val="Arial"/>
      <family val="2"/>
    </font>
    <font>
      <b/>
      <sz val="12"/>
      <color rgb="FF000000"/>
      <name val="Arial"/>
      <family val="2"/>
      <charset val="1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1">
    <xf numFmtId="0" fontId="0" fillId="0" borderId="0"/>
    <xf numFmtId="0" fontId="21" fillId="6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10" borderId="2" applyNumberFormat="0" applyAlignment="0" applyProtection="0"/>
    <xf numFmtId="0" fontId="22" fillId="0" borderId="3" applyNumberFormat="0" applyFill="0" applyAlignment="0" applyProtection="0"/>
    <xf numFmtId="0" fontId="2" fillId="2" borderId="1" applyNumberFormat="0" applyFont="0" applyAlignment="0" applyProtection="0"/>
    <xf numFmtId="0" fontId="24" fillId="3" borderId="2" applyNumberFormat="0" applyAlignment="0" applyProtection="0"/>
    <xf numFmtId="164" fontId="8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2" fillId="0" borderId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/>
    <xf numFmtId="0" fontId="2" fillId="0" borderId="0"/>
    <xf numFmtId="0" fontId="28" fillId="0" borderId="0"/>
    <xf numFmtId="0" fontId="2" fillId="0" borderId="0"/>
    <xf numFmtId="0" fontId="30" fillId="0" borderId="0"/>
    <xf numFmtId="0" fontId="31" fillId="0" borderId="0">
      <alignment vertical="top"/>
    </xf>
    <xf numFmtId="9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10" borderId="4" applyNumberFormat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30">
    <xf numFmtId="0" fontId="0" fillId="0" borderId="0" xfId="0"/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7" xfId="0" applyBorder="1"/>
    <xf numFmtId="3" fontId="0" fillId="0" borderId="7" xfId="0" applyNumberFormat="1" applyBorder="1"/>
    <xf numFmtId="0" fontId="0" fillId="0" borderId="8" xfId="0" applyBorder="1"/>
    <xf numFmtId="0" fontId="0" fillId="0" borderId="5" xfId="0" applyBorder="1"/>
    <xf numFmtId="0" fontId="0" fillId="0" borderId="6" xfId="0" applyBorder="1"/>
    <xf numFmtId="0" fontId="6" fillId="0" borderId="8" xfId="0" applyFont="1" applyBorder="1"/>
    <xf numFmtId="0" fontId="6" fillId="0" borderId="5" xfId="0" applyFont="1" applyBorder="1"/>
    <xf numFmtId="0" fontId="6" fillId="0" borderId="6" xfId="0" applyFont="1" applyBorder="1"/>
    <xf numFmtId="0" fontId="8" fillId="0" borderId="0" xfId="0" applyFont="1"/>
    <xf numFmtId="0" fontId="7" fillId="0" borderId="0" xfId="0" applyFont="1"/>
    <xf numFmtId="0" fontId="4" fillId="0" borderId="8" xfId="0" applyFont="1" applyBorder="1" applyAlignment="1">
      <alignment horizontal="left"/>
    </xf>
    <xf numFmtId="0" fontId="4" fillId="0" borderId="0" xfId="0" applyFont="1"/>
    <xf numFmtId="0" fontId="0" fillId="0" borderId="9" xfId="0" applyBorder="1"/>
    <xf numFmtId="0" fontId="3" fillId="0" borderId="9" xfId="0" applyFont="1" applyBorder="1"/>
    <xf numFmtId="3" fontId="0" fillId="0" borderId="9" xfId="0" applyNumberFormat="1" applyBorder="1"/>
    <xf numFmtId="3" fontId="4" fillId="0" borderId="8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/>
    </xf>
    <xf numFmtId="3" fontId="0" fillId="0" borderId="0" xfId="0" applyNumberFormat="1"/>
    <xf numFmtId="3" fontId="8" fillId="0" borderId="0" xfId="0" applyNumberFormat="1" applyFont="1"/>
    <xf numFmtId="3" fontId="0" fillId="0" borderId="8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1" fillId="0" borderId="8" xfId="0" applyNumberFormat="1" applyFont="1" applyBorder="1"/>
    <xf numFmtId="3" fontId="1" fillId="0" borderId="5" xfId="0" applyNumberFormat="1" applyFont="1" applyBorder="1"/>
    <xf numFmtId="3" fontId="1" fillId="0" borderId="6" xfId="0" applyNumberFormat="1" applyFont="1" applyBorder="1"/>
    <xf numFmtId="3" fontId="1" fillId="0" borderId="0" xfId="0" applyNumberFormat="1" applyFont="1"/>
    <xf numFmtId="3" fontId="6" fillId="0" borderId="8" xfId="0" applyNumberFormat="1" applyFont="1" applyBorder="1"/>
    <xf numFmtId="3" fontId="6" fillId="0" borderId="5" xfId="0" applyNumberFormat="1" applyFont="1" applyBorder="1"/>
    <xf numFmtId="3" fontId="6" fillId="0" borderId="6" xfId="0" applyNumberFormat="1" applyFont="1" applyBorder="1"/>
    <xf numFmtId="3" fontId="1" fillId="0" borderId="10" xfId="0" applyNumberFormat="1" applyFont="1" applyBorder="1"/>
    <xf numFmtId="3" fontId="1" fillId="0" borderId="9" xfId="0" applyNumberFormat="1" applyFont="1" applyBorder="1"/>
    <xf numFmtId="3" fontId="1" fillId="0" borderId="11" xfId="0" applyNumberFormat="1" applyFont="1" applyBorder="1"/>
    <xf numFmtId="3" fontId="4" fillId="0" borderId="0" xfId="0" applyNumberFormat="1" applyFont="1"/>
    <xf numFmtId="3" fontId="7" fillId="0" borderId="0" xfId="0" applyNumberFormat="1" applyFont="1"/>
    <xf numFmtId="1" fontId="4" fillId="0" borderId="8" xfId="0" applyNumberFormat="1" applyFont="1" applyBorder="1" applyAlignment="1">
      <alignment horizontal="left"/>
    </xf>
    <xf numFmtId="1" fontId="4" fillId="0" borderId="5" xfId="0" applyNumberFormat="1" applyFont="1" applyBorder="1" applyAlignment="1">
      <alignment horizontal="center"/>
    </xf>
    <xf numFmtId="1" fontId="4" fillId="0" borderId="6" xfId="0" applyNumberFormat="1" applyFont="1" applyBorder="1" applyAlignment="1">
      <alignment horizontal="center"/>
    </xf>
    <xf numFmtId="1" fontId="4" fillId="0" borderId="0" xfId="0" applyNumberFormat="1" applyFont="1"/>
    <xf numFmtId="0" fontId="4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3" fontId="0" fillId="0" borderId="7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4" fontId="0" fillId="0" borderId="7" xfId="0" applyNumberFormat="1" applyBorder="1"/>
    <xf numFmtId="3" fontId="6" fillId="0" borderId="7" xfId="0" applyNumberFormat="1" applyFont="1" applyBorder="1"/>
    <xf numFmtId="3" fontId="0" fillId="0" borderId="0" xfId="0" applyNumberFormat="1" applyAlignment="1">
      <alignment vertical="center"/>
    </xf>
    <xf numFmtId="3" fontId="2" fillId="0" borderId="7" xfId="30" applyNumberFormat="1" applyBorder="1" applyAlignment="1">
      <alignment horizontal="right"/>
    </xf>
    <xf numFmtId="3" fontId="2" fillId="0" borderId="7" xfId="30" applyNumberFormat="1" applyBorder="1"/>
    <xf numFmtId="3" fontId="0" fillId="0" borderId="7" xfId="0" applyNumberFormat="1" applyBorder="1" applyAlignment="1">
      <alignment horizontal="center" vertical="center"/>
    </xf>
    <xf numFmtId="1" fontId="0" fillId="0" borderId="7" xfId="0" applyNumberFormat="1" applyBorder="1"/>
    <xf numFmtId="1" fontId="0" fillId="0" borderId="0" xfId="0" applyNumberFormat="1"/>
    <xf numFmtId="3" fontId="0" fillId="0" borderId="12" xfId="0" applyNumberFormat="1" applyBorder="1"/>
    <xf numFmtId="3" fontId="0" fillId="0" borderId="8" xfId="0" quotePrefix="1" applyNumberFormat="1" applyBorder="1"/>
    <xf numFmtId="3" fontId="0" fillId="0" borderId="8" xfId="0" applyNumberFormat="1" applyBorder="1" applyAlignment="1">
      <alignment vertical="center"/>
    </xf>
    <xf numFmtId="1" fontId="0" fillId="0" borderId="8" xfId="0" applyNumberFormat="1" applyBorder="1"/>
    <xf numFmtId="0" fontId="4" fillId="11" borderId="0" xfId="0" applyFont="1" applyFill="1" applyAlignment="1">
      <alignment horizontal="left"/>
    </xf>
    <xf numFmtId="0" fontId="4" fillId="11" borderId="0" xfId="0" applyFont="1" applyFill="1" applyAlignment="1">
      <alignment horizontal="center"/>
    </xf>
    <xf numFmtId="3" fontId="4" fillId="11" borderId="8" xfId="0" applyNumberFormat="1" applyFont="1" applyFill="1" applyBorder="1" applyAlignment="1">
      <alignment horizontal="left"/>
    </xf>
    <xf numFmtId="3" fontId="4" fillId="11" borderId="5" xfId="0" applyNumberFormat="1" applyFont="1" applyFill="1" applyBorder="1" applyAlignment="1">
      <alignment horizontal="center"/>
    </xf>
    <xf numFmtId="3" fontId="4" fillId="11" borderId="6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3" fontId="4" fillId="11" borderId="7" xfId="0" applyNumberFormat="1" applyFont="1" applyFill="1" applyBorder="1" applyAlignment="1">
      <alignment horizontal="center"/>
    </xf>
    <xf numFmtId="3" fontId="1" fillId="11" borderId="8" xfId="0" applyNumberFormat="1" applyFont="1" applyFill="1" applyBorder="1"/>
    <xf numFmtId="3" fontId="1" fillId="11" borderId="5" xfId="0" applyNumberFormat="1" applyFont="1" applyFill="1" applyBorder="1"/>
    <xf numFmtId="3" fontId="1" fillId="11" borderId="6" xfId="0" applyNumberFormat="1" applyFont="1" applyFill="1" applyBorder="1"/>
    <xf numFmtId="3" fontId="1" fillId="11" borderId="7" xfId="0" applyNumberFormat="1" applyFont="1" applyFill="1" applyBorder="1"/>
    <xf numFmtId="3" fontId="1" fillId="11" borderId="10" xfId="0" applyNumberFormat="1" applyFont="1" applyFill="1" applyBorder="1"/>
    <xf numFmtId="3" fontId="1" fillId="11" borderId="9" xfId="0" applyNumberFormat="1" applyFont="1" applyFill="1" applyBorder="1"/>
    <xf numFmtId="3" fontId="1" fillId="11" borderId="11" xfId="0" applyNumberFormat="1" applyFont="1" applyFill="1" applyBorder="1"/>
    <xf numFmtId="3" fontId="1" fillId="11" borderId="13" xfId="0" applyNumberFormat="1" applyFont="1" applyFill="1" applyBorder="1"/>
    <xf numFmtId="0" fontId="4" fillId="11" borderId="0" xfId="0" applyFont="1" applyFill="1" applyAlignment="1">
      <alignment horizontal="left" vertical="center"/>
    </xf>
    <xf numFmtId="0" fontId="4" fillId="11" borderId="0" xfId="0" applyFont="1" applyFill="1" applyAlignment="1">
      <alignment horizontal="center" vertical="center"/>
    </xf>
    <xf numFmtId="0" fontId="4" fillId="11" borderId="8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3" fontId="4" fillId="11" borderId="7" xfId="0" applyNumberFormat="1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left"/>
    </xf>
    <xf numFmtId="0" fontId="4" fillId="11" borderId="5" xfId="0" applyFont="1" applyFill="1" applyBorder="1" applyAlignment="1">
      <alignment horizontal="center"/>
    </xf>
    <xf numFmtId="0" fontId="4" fillId="11" borderId="6" xfId="0" applyFont="1" applyFill="1" applyBorder="1" applyAlignment="1">
      <alignment horizontal="center"/>
    </xf>
    <xf numFmtId="3" fontId="4" fillId="11" borderId="7" xfId="0" applyNumberFormat="1" applyFont="1" applyFill="1" applyBorder="1" applyAlignment="1">
      <alignment horizontal="right"/>
    </xf>
    <xf numFmtId="0" fontId="4" fillId="11" borderId="7" xfId="0" applyFont="1" applyFill="1" applyBorder="1" applyAlignment="1">
      <alignment horizontal="right"/>
    </xf>
    <xf numFmtId="1" fontId="4" fillId="11" borderId="7" xfId="0" applyNumberFormat="1" applyFont="1" applyFill="1" applyBorder="1" applyAlignment="1">
      <alignment horizontal="center"/>
    </xf>
    <xf numFmtId="0" fontId="0" fillId="11" borderId="7" xfId="0" applyFill="1" applyBorder="1"/>
    <xf numFmtId="3" fontId="0" fillId="0" borderId="7" xfId="0" applyNumberFormat="1" applyBorder="1" applyAlignment="1">
      <alignment horizontal="right"/>
    </xf>
    <xf numFmtId="3" fontId="0" fillId="0" borderId="0" xfId="0" applyNumberFormat="1" applyAlignment="1">
      <alignment horizontal="right"/>
    </xf>
    <xf numFmtId="9" fontId="0" fillId="11" borderId="0" xfId="27" applyFont="1" applyFill="1"/>
    <xf numFmtId="3" fontId="4" fillId="11" borderId="7" xfId="0" applyNumberFormat="1" applyFont="1" applyFill="1" applyBorder="1" applyAlignment="1">
      <alignment horizontal="center" vertical="center" wrapText="1"/>
    </xf>
    <xf numFmtId="0" fontId="0" fillId="12" borderId="0" xfId="0" applyFill="1"/>
    <xf numFmtId="0" fontId="6" fillId="12" borderId="14" xfId="0" applyFont="1" applyFill="1" applyBorder="1"/>
    <xf numFmtId="0" fontId="4" fillId="13" borderId="15" xfId="0" applyFont="1" applyFill="1" applyBorder="1" applyAlignment="1">
      <alignment horizontal="center"/>
    </xf>
    <xf numFmtId="1" fontId="4" fillId="11" borderId="7" xfId="0" applyNumberFormat="1" applyFont="1" applyFill="1" applyBorder="1"/>
    <xf numFmtId="3" fontId="0" fillId="0" borderId="15" xfId="0" applyNumberFormat="1" applyBorder="1"/>
    <xf numFmtId="0" fontId="0" fillId="0" borderId="0" xfId="0" applyAlignment="1">
      <alignment horizontal="center"/>
    </xf>
    <xf numFmtId="3" fontId="12" fillId="0" borderId="7" xfId="0" applyNumberFormat="1" applyFont="1" applyBorder="1"/>
    <xf numFmtId="1" fontId="4" fillId="0" borderId="7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0" fontId="13" fillId="0" borderId="16" xfId="0" applyFont="1" applyBorder="1"/>
    <xf numFmtId="3" fontId="14" fillId="0" borderId="17" xfId="0" applyNumberFormat="1" applyFont="1" applyBorder="1" applyAlignment="1">
      <alignment horizontal="right"/>
    </xf>
    <xf numFmtId="0" fontId="11" fillId="0" borderId="16" xfId="0" applyFont="1" applyBorder="1"/>
    <xf numFmtId="0" fontId="15" fillId="0" borderId="16" xfId="0" applyFont="1" applyBorder="1" applyAlignment="1">
      <alignment horizontal="right"/>
    </xf>
    <xf numFmtId="3" fontId="16" fillId="0" borderId="17" xfId="0" applyNumberFormat="1" applyFont="1" applyBorder="1" applyAlignment="1">
      <alignment horizontal="right"/>
    </xf>
    <xf numFmtId="0" fontId="17" fillId="0" borderId="16" xfId="0" applyFont="1" applyBorder="1" applyAlignment="1">
      <alignment horizontal="right"/>
    </xf>
    <xf numFmtId="0" fontId="18" fillId="0" borderId="0" xfId="0" applyFont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7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7" xfId="0" applyFont="1" applyBorder="1"/>
    <xf numFmtId="1" fontId="2" fillId="0" borderId="7" xfId="0" applyNumberFormat="1" applyFont="1" applyBorder="1"/>
    <xf numFmtId="0" fontId="1" fillId="0" borderId="0" xfId="0" applyFont="1"/>
    <xf numFmtId="3" fontId="14" fillId="0" borderId="18" xfId="0" applyNumberFormat="1" applyFont="1" applyBorder="1" applyAlignment="1">
      <alignment horizontal="right"/>
    </xf>
    <xf numFmtId="0" fontId="14" fillId="0" borderId="0" xfId="0" applyFont="1"/>
    <xf numFmtId="3" fontId="14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8" fillId="0" borderId="7" xfId="20" applyNumberFormat="1" applyBorder="1"/>
    <xf numFmtId="3" fontId="20" fillId="0" borderId="7" xfId="0" applyNumberFormat="1" applyFont="1" applyBorder="1"/>
    <xf numFmtId="3" fontId="12" fillId="0" borderId="7" xfId="20" applyNumberFormat="1" applyFont="1" applyBorder="1"/>
    <xf numFmtId="0" fontId="8" fillId="0" borderId="7" xfId="20" applyBorder="1"/>
    <xf numFmtId="1" fontId="8" fillId="0" borderId="7" xfId="20" applyNumberFormat="1" applyBorder="1"/>
    <xf numFmtId="3" fontId="2" fillId="0" borderId="7" xfId="23" applyNumberFormat="1" applyBorder="1"/>
    <xf numFmtId="0" fontId="2" fillId="0" borderId="7" xfId="23" applyBorder="1"/>
    <xf numFmtId="1" fontId="2" fillId="0" borderId="7" xfId="23" applyNumberFormat="1" applyBorder="1"/>
    <xf numFmtId="0" fontId="20" fillId="0" borderId="7" xfId="23" applyFont="1" applyBorder="1"/>
    <xf numFmtId="1" fontId="20" fillId="0" borderId="7" xfId="23" applyNumberFormat="1" applyFont="1" applyBorder="1"/>
    <xf numFmtId="1" fontId="14" fillId="0" borderId="0" xfId="0" applyNumberFormat="1" applyFont="1"/>
    <xf numFmtId="0" fontId="19" fillId="0" borderId="0" xfId="0" applyFont="1"/>
    <xf numFmtId="3" fontId="19" fillId="0" borderId="0" xfId="0" applyNumberFormat="1" applyFont="1"/>
    <xf numFmtId="167" fontId="0" fillId="0" borderId="7" xfId="29" applyNumberFormat="1" applyFont="1" applyBorder="1"/>
    <xf numFmtId="3" fontId="32" fillId="0" borderId="7" xfId="20" applyNumberFormat="1" applyFont="1" applyBorder="1"/>
    <xf numFmtId="3" fontId="33" fillId="0" borderId="7" xfId="20" applyNumberFormat="1" applyFont="1" applyBorder="1"/>
    <xf numFmtId="0" fontId="2" fillId="0" borderId="0" xfId="0" applyFont="1"/>
    <xf numFmtId="0" fontId="2" fillId="0" borderId="7" xfId="20" applyFont="1" applyBorder="1"/>
    <xf numFmtId="1" fontId="2" fillId="0" borderId="7" xfId="20" applyNumberFormat="1" applyFont="1" applyBorder="1"/>
    <xf numFmtId="3" fontId="2" fillId="0" borderId="7" xfId="20" applyNumberFormat="1" applyFont="1" applyBorder="1"/>
    <xf numFmtId="3" fontId="2" fillId="0" borderId="0" xfId="0" applyNumberFormat="1" applyFont="1"/>
    <xf numFmtId="1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0" fontId="2" fillId="12" borderId="14" xfId="0" applyFont="1" applyFill="1" applyBorder="1"/>
    <xf numFmtId="0" fontId="2" fillId="12" borderId="7" xfId="0" applyFont="1" applyFill="1" applyBorder="1"/>
    <xf numFmtId="0" fontId="2" fillId="11" borderId="7" xfId="0" applyFont="1" applyFill="1" applyBorder="1"/>
    <xf numFmtId="168" fontId="2" fillId="0" borderId="7" xfId="0" applyNumberFormat="1" applyFont="1" applyBorder="1"/>
    <xf numFmtId="168" fontId="2" fillId="0" borderId="8" xfId="0" applyNumberFormat="1" applyFont="1" applyBorder="1"/>
    <xf numFmtId="168" fontId="2" fillId="0" borderId="7" xfId="0" applyNumberFormat="1" applyFont="1" applyBorder="1" applyAlignment="1">
      <alignment horizontal="right" wrapText="1"/>
    </xf>
    <xf numFmtId="168" fontId="2" fillId="0" borderId="13" xfId="0" applyNumberFormat="1" applyFont="1" applyBorder="1" applyAlignment="1">
      <alignment horizontal="right" wrapText="1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6" fillId="14" borderId="7" xfId="0" applyFont="1" applyFill="1" applyBorder="1" applyAlignment="1">
      <alignment horizontal="center"/>
    </xf>
    <xf numFmtId="3" fontId="27" fillId="14" borderId="7" xfId="0" applyNumberFormat="1" applyFont="1" applyFill="1" applyBorder="1"/>
    <xf numFmtId="3" fontId="2" fillId="0" borderId="15" xfId="20" applyNumberFormat="1" applyFont="1" applyBorder="1" applyAlignment="1">
      <alignment horizontal="right"/>
    </xf>
    <xf numFmtId="3" fontId="2" fillId="0" borderId="15" xfId="20" applyNumberFormat="1" applyFont="1" applyBorder="1"/>
    <xf numFmtId="168" fontId="0" fillId="0" borderId="0" xfId="0" applyNumberFormat="1"/>
    <xf numFmtId="0" fontId="34" fillId="0" borderId="0" xfId="0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3" fontId="2" fillId="0" borderId="7" xfId="0" applyNumberFormat="1" applyFont="1" applyBorder="1" applyAlignment="1">
      <alignment horizontal="center" vertical="center"/>
    </xf>
    <xf numFmtId="168" fontId="0" fillId="0" borderId="8" xfId="0" quotePrefix="1" applyNumberFormat="1" applyBorder="1"/>
    <xf numFmtId="168" fontId="0" fillId="0" borderId="7" xfId="0" applyNumberFormat="1" applyBorder="1"/>
    <xf numFmtId="168" fontId="0" fillId="0" borderId="8" xfId="0" applyNumberFormat="1" applyBorder="1"/>
    <xf numFmtId="168" fontId="0" fillId="0" borderId="7" xfId="0" applyNumberFormat="1" applyBorder="1" applyAlignment="1">
      <alignment vertical="center"/>
    </xf>
    <xf numFmtId="168" fontId="0" fillId="0" borderId="8" xfId="0" applyNumberFormat="1" applyBorder="1" applyAlignment="1">
      <alignment vertical="center"/>
    </xf>
    <xf numFmtId="168" fontId="2" fillId="0" borderId="7" xfId="0" applyNumberFormat="1" applyFont="1" applyBorder="1" applyAlignment="1">
      <alignment vertical="center"/>
    </xf>
    <xf numFmtId="0" fontId="34" fillId="0" borderId="0" xfId="0" applyFont="1"/>
    <xf numFmtId="1" fontId="2" fillId="0" borderId="0" xfId="0" applyNumberFormat="1" applyFont="1"/>
    <xf numFmtId="3" fontId="34" fillId="0" borderId="0" xfId="0" applyNumberFormat="1" applyFont="1"/>
    <xf numFmtId="0" fontId="33" fillId="0" borderId="7" xfId="0" applyFont="1" applyBorder="1" applyAlignment="1">
      <alignment horizontal="center" vertical="center"/>
    </xf>
    <xf numFmtId="0" fontId="12" fillId="0" borderId="0" xfId="0" applyFont="1"/>
    <xf numFmtId="3" fontId="20" fillId="0" borderId="7" xfId="23" applyNumberFormat="1" applyFont="1" applyBorder="1" applyAlignment="1">
      <alignment horizontal="right"/>
    </xf>
    <xf numFmtId="3" fontId="2" fillId="0" borderId="7" xfId="23" applyNumberFormat="1" applyBorder="1" applyAlignment="1">
      <alignment horizontal="right"/>
    </xf>
    <xf numFmtId="168" fontId="2" fillId="0" borderId="0" xfId="0" applyNumberFormat="1" applyFont="1"/>
    <xf numFmtId="168" fontId="34" fillId="0" borderId="0" xfId="0" applyNumberFormat="1" applyFont="1"/>
    <xf numFmtId="3" fontId="2" fillId="0" borderId="7" xfId="21" applyNumberFormat="1" applyBorder="1"/>
    <xf numFmtId="3" fontId="12" fillId="0" borderId="7" xfId="21" applyNumberFormat="1" applyFont="1" applyBorder="1"/>
    <xf numFmtId="3" fontId="0" fillId="0" borderId="13" xfId="0" applyNumberFormat="1" applyBorder="1" applyAlignment="1">
      <alignment vertical="center"/>
    </xf>
    <xf numFmtId="0" fontId="35" fillId="0" borderId="0" xfId="0" applyFont="1"/>
    <xf numFmtId="3" fontId="0" fillId="0" borderId="11" xfId="0" applyNumberFormat="1" applyBorder="1"/>
    <xf numFmtId="3" fontId="0" fillId="0" borderId="13" xfId="0" applyNumberFormat="1" applyBorder="1"/>
    <xf numFmtId="3" fontId="6" fillId="0" borderId="13" xfId="0" applyNumberFormat="1" applyFon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6" fillId="0" borderId="12" xfId="0" applyNumberFormat="1" applyFont="1" applyBorder="1"/>
    <xf numFmtId="3" fontId="33" fillId="0" borderId="7" xfId="0" applyNumberFormat="1" applyFont="1" applyBorder="1" applyAlignment="1">
      <alignment horizontal="center" vertical="center"/>
    </xf>
    <xf numFmtId="3" fontId="36" fillId="11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4" fillId="0" borderId="7" xfId="0" applyNumberFormat="1" applyFont="1" applyBorder="1" applyAlignment="1">
      <alignment horizontal="center"/>
    </xf>
    <xf numFmtId="14" fontId="0" fillId="0" borderId="0" xfId="0" applyNumberFormat="1" applyAlignment="1">
      <alignment vertical="center"/>
    </xf>
    <xf numFmtId="14" fontId="0" fillId="0" borderId="0" xfId="0" applyNumberFormat="1"/>
    <xf numFmtId="3" fontId="33" fillId="0" borderId="7" xfId="0" applyNumberFormat="1" applyFont="1" applyBorder="1"/>
    <xf numFmtId="3" fontId="2" fillId="0" borderId="7" xfId="29" applyNumberFormat="1" applyBorder="1" applyAlignment="1">
      <alignment horizontal="right"/>
    </xf>
    <xf numFmtId="0" fontId="4" fillId="15" borderId="7" xfId="0" applyFont="1" applyFill="1" applyBorder="1" applyAlignment="1">
      <alignment horizontal="center"/>
    </xf>
    <xf numFmtId="168" fontId="2" fillId="0" borderId="7" xfId="0" applyNumberFormat="1" applyFont="1" applyBorder="1" applyAlignment="1">
      <alignment horizontal="right" vertical="center" wrapText="1"/>
    </xf>
    <xf numFmtId="168" fontId="2" fillId="0" borderId="12" xfId="0" applyNumberFormat="1" applyFont="1" applyBorder="1" applyAlignment="1">
      <alignment horizontal="right" vertical="center" wrapText="1"/>
    </xf>
    <xf numFmtId="3" fontId="35" fillId="0" borderId="7" xfId="0" applyNumberFormat="1" applyFont="1" applyBorder="1"/>
    <xf numFmtId="0" fontId="4" fillId="14" borderId="7" xfId="0" applyFont="1" applyFill="1" applyBorder="1" applyAlignment="1">
      <alignment horizontal="center"/>
    </xf>
    <xf numFmtId="0" fontId="37" fillId="14" borderId="7" xfId="0" applyFont="1" applyFill="1" applyBorder="1" applyAlignment="1">
      <alignment horizontal="center"/>
    </xf>
    <xf numFmtId="0" fontId="19" fillId="0" borderId="7" xfId="0" applyFont="1" applyBorder="1"/>
    <xf numFmtId="1" fontId="2" fillId="0" borderId="7" xfId="21" applyNumberFormat="1" applyBorder="1"/>
    <xf numFmtId="0" fontId="2" fillId="0" borderId="7" xfId="21" applyBorder="1"/>
    <xf numFmtId="1" fontId="33" fillId="0" borderId="7" xfId="21" applyNumberFormat="1" applyFont="1" applyBorder="1"/>
    <xf numFmtId="0" fontId="33" fillId="0" borderId="7" xfId="21" applyFont="1" applyBorder="1"/>
    <xf numFmtId="0" fontId="34" fillId="0" borderId="7" xfId="21" applyFont="1" applyBorder="1"/>
    <xf numFmtId="1" fontId="34" fillId="0" borderId="7" xfId="21" applyNumberFormat="1" applyFont="1" applyBorder="1"/>
    <xf numFmtId="3" fontId="36" fillId="15" borderId="7" xfId="0" applyNumberFormat="1" applyFont="1" applyFill="1" applyBorder="1" applyAlignment="1">
      <alignment horizontal="right"/>
    </xf>
    <xf numFmtId="3" fontId="33" fillId="0" borderId="7" xfId="23" applyNumberFormat="1" applyFont="1" applyBorder="1" applyAlignment="1">
      <alignment horizontal="right"/>
    </xf>
    <xf numFmtId="3" fontId="33" fillId="0" borderId="7" xfId="0" applyNumberFormat="1" applyFont="1" applyBorder="1" applyAlignment="1">
      <alignment horizontal="right"/>
    </xf>
    <xf numFmtId="1" fontId="38" fillId="11" borderId="7" xfId="0" applyNumberFormat="1" applyFont="1" applyFill="1" applyBorder="1"/>
    <xf numFmtId="3" fontId="0" fillId="0" borderId="7" xfId="0" applyNumberFormat="1" applyBorder="1" applyAlignment="1">
      <alignment horizontal="right" vertical="center"/>
    </xf>
    <xf numFmtId="3" fontId="2" fillId="0" borderId="7" xfId="23" applyNumberFormat="1" applyBorder="1" applyAlignment="1">
      <alignment horizontal="right" vertical="center"/>
    </xf>
    <xf numFmtId="3" fontId="20" fillId="0" borderId="7" xfId="23" applyNumberFormat="1" applyFont="1" applyBorder="1" applyAlignment="1">
      <alignment horizontal="right" vertical="center"/>
    </xf>
    <xf numFmtId="1" fontId="39" fillId="0" borderId="7" xfId="0" applyNumberFormat="1" applyFont="1" applyBorder="1" applyAlignment="1">
      <alignment horizontal="center"/>
    </xf>
    <xf numFmtId="168" fontId="34" fillId="0" borderId="7" xfId="0" applyNumberFormat="1" applyFont="1" applyBorder="1"/>
    <xf numFmtId="168" fontId="34" fillId="0" borderId="7" xfId="0" applyNumberFormat="1" applyFont="1" applyBorder="1" applyAlignment="1">
      <alignment vertical="center"/>
    </xf>
    <xf numFmtId="3" fontId="34" fillId="0" borderId="7" xfId="0" applyNumberFormat="1" applyFont="1" applyBorder="1" applyAlignment="1">
      <alignment vertical="center"/>
    </xf>
    <xf numFmtId="3" fontId="34" fillId="0" borderId="7" xfId="0" applyNumberFormat="1" applyFont="1" applyBorder="1"/>
    <xf numFmtId="1" fontId="34" fillId="0" borderId="7" xfId="0" applyNumberFormat="1" applyFont="1" applyBorder="1"/>
    <xf numFmtId="1" fontId="34" fillId="0" borderId="7" xfId="0" applyNumberFormat="1" applyFont="1" applyBorder="1" applyAlignment="1">
      <alignment horizontal="right"/>
    </xf>
    <xf numFmtId="3" fontId="34" fillId="0" borderId="7" xfId="0" applyNumberFormat="1" applyFont="1" applyBorder="1" applyAlignment="1">
      <alignment horizontal="right"/>
    </xf>
    <xf numFmtId="0" fontId="34" fillId="0" borderId="7" xfId="0" applyFont="1" applyBorder="1"/>
    <xf numFmtId="3" fontId="2" fillId="0" borderId="7" xfId="21" applyNumberFormat="1" applyBorder="1" applyAlignment="1">
      <alignment horizontal="right" vertical="center"/>
    </xf>
    <xf numFmtId="0" fontId="19" fillId="0" borderId="7" xfId="21" applyFont="1" applyBorder="1"/>
    <xf numFmtId="3" fontId="29" fillId="0" borderId="7" xfId="0" applyNumberFormat="1" applyFont="1" applyBorder="1"/>
    <xf numFmtId="3" fontId="2" fillId="0" borderId="7" xfId="21" applyNumberFormat="1" applyBorder="1" applyAlignment="1">
      <alignment horizontal="right"/>
    </xf>
    <xf numFmtId="3" fontId="2" fillId="0" borderId="12" xfId="21" applyNumberFormat="1" applyBorder="1"/>
    <xf numFmtId="3" fontId="2" fillId="0" borderId="14" xfId="21" applyNumberFormat="1" applyBorder="1"/>
    <xf numFmtId="3" fontId="2" fillId="0" borderId="13" xfId="21" applyNumberFormat="1" applyBorder="1"/>
    <xf numFmtId="14" fontId="3" fillId="0" borderId="0" xfId="0" applyNumberFormat="1" applyFont="1" applyAlignment="1">
      <alignment vertical="center"/>
    </xf>
    <xf numFmtId="3" fontId="34" fillId="0" borderId="7" xfId="0" applyNumberFormat="1" applyFont="1" applyBorder="1" applyAlignment="1">
      <alignment horizontal="center" vertical="center"/>
    </xf>
    <xf numFmtId="0" fontId="34" fillId="0" borderId="7" xfId="0" applyFont="1" applyBorder="1" applyAlignment="1">
      <alignment horizontal="center" vertical="center"/>
    </xf>
    <xf numFmtId="170" fontId="0" fillId="0" borderId="0" xfId="16" applyNumberFormat="1" applyFont="1"/>
    <xf numFmtId="1" fontId="2" fillId="0" borderId="7" xfId="0" applyNumberFormat="1" applyFont="1" applyBorder="1" applyAlignment="1">
      <alignment horizontal="center" vertical="center"/>
    </xf>
    <xf numFmtId="1" fontId="34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3" fontId="2" fillId="15" borderId="7" xfId="0" applyNumberFormat="1" applyFont="1" applyFill="1" applyBorder="1"/>
    <xf numFmtId="0" fontId="1" fillId="11" borderId="0" xfId="0" applyFont="1" applyFill="1"/>
    <xf numFmtId="166" fontId="1" fillId="11" borderId="0" xfId="0" quotePrefix="1" applyNumberFormat="1" applyFont="1" applyFill="1"/>
    <xf numFmtId="166" fontId="1" fillId="11" borderId="0" xfId="0" applyNumberFormat="1" applyFont="1" applyFill="1"/>
    <xf numFmtId="3" fontId="2" fillId="0" borderId="8" xfId="0" applyNumberFormat="1" applyFont="1" applyBorder="1" applyAlignment="1">
      <alignment horizontal="left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/>
    <xf numFmtId="3" fontId="2" fillId="0" borderId="5" xfId="0" applyNumberFormat="1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6" xfId="0" applyFont="1" applyBorder="1"/>
    <xf numFmtId="0" fontId="1" fillId="11" borderId="7" xfId="0" applyFont="1" applyFill="1" applyBorder="1"/>
    <xf numFmtId="0" fontId="1" fillId="11" borderId="8" xfId="0" applyFont="1" applyFill="1" applyBorder="1" applyAlignment="1">
      <alignment vertical="center"/>
    </xf>
    <xf numFmtId="0" fontId="1" fillId="11" borderId="5" xfId="0" applyFont="1" applyFill="1" applyBorder="1" applyAlignment="1">
      <alignment vertical="center"/>
    </xf>
    <xf numFmtId="0" fontId="1" fillId="11" borderId="6" xfId="0" applyFont="1" applyFill="1" applyBorder="1" applyAlignment="1">
      <alignment vertical="center"/>
    </xf>
    <xf numFmtId="3" fontId="1" fillId="11" borderId="7" xfId="0" applyNumberFormat="1" applyFont="1" applyFill="1" applyBorder="1" applyAlignment="1">
      <alignment vertical="center"/>
    </xf>
    <xf numFmtId="3" fontId="1" fillId="11" borderId="7" xfId="0" applyNumberFormat="1" applyFont="1" applyFill="1" applyBorder="1" applyAlignment="1">
      <alignment horizontal="center" vertical="center"/>
    </xf>
    <xf numFmtId="0" fontId="1" fillId="11" borderId="7" xfId="0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1" fillId="11" borderId="7" xfId="0" applyNumberFormat="1" applyFont="1" applyFill="1" applyBorder="1" applyAlignment="1">
      <alignment horizontal="center"/>
    </xf>
    <xf numFmtId="3" fontId="1" fillId="11" borderId="7" xfId="0" applyNumberFormat="1" applyFont="1" applyFill="1" applyBorder="1" applyAlignment="1">
      <alignment horizontal="right" wrapText="1"/>
    </xf>
    <xf numFmtId="3" fontId="2" fillId="0" borderId="7" xfId="0" applyNumberFormat="1" applyFont="1" applyBorder="1" applyAlignment="1">
      <alignment horizontal="right" wrapText="1"/>
    </xf>
    <xf numFmtId="3" fontId="1" fillId="15" borderId="7" xfId="0" applyNumberFormat="1" applyFont="1" applyFill="1" applyBorder="1"/>
    <xf numFmtId="3" fontId="2" fillId="0" borderId="8" xfId="0" applyNumberFormat="1" applyFont="1" applyBorder="1" applyAlignment="1">
      <alignment horizontal="right" wrapText="1"/>
    </xf>
    <xf numFmtId="0" fontId="2" fillId="0" borderId="7" xfId="0" applyFont="1" applyBorder="1" applyAlignment="1">
      <alignment horizontal="right" wrapText="1"/>
    </xf>
    <xf numFmtId="3" fontId="2" fillId="0" borderId="10" xfId="0" applyNumberFormat="1" applyFont="1" applyBorder="1"/>
    <xf numFmtId="0" fontId="2" fillId="0" borderId="13" xfId="0" applyFont="1" applyBorder="1" applyAlignment="1">
      <alignment horizontal="right" wrapText="1"/>
    </xf>
    <xf numFmtId="3" fontId="2" fillId="0" borderId="19" xfId="0" applyNumberFormat="1" applyFont="1" applyBorder="1"/>
    <xf numFmtId="0" fontId="2" fillId="0" borderId="12" xfId="0" applyFont="1" applyBorder="1" applyAlignment="1">
      <alignment horizontal="right" wrapText="1"/>
    </xf>
    <xf numFmtId="0" fontId="1" fillId="11" borderId="8" xfId="0" applyFont="1" applyFill="1" applyBorder="1"/>
    <xf numFmtId="0" fontId="1" fillId="11" borderId="5" xfId="0" applyFont="1" applyFill="1" applyBorder="1"/>
    <xf numFmtId="0" fontId="1" fillId="11" borderId="6" xfId="0" applyFont="1" applyFill="1" applyBorder="1"/>
    <xf numFmtId="0" fontId="2" fillId="0" borderId="8" xfId="0" applyFont="1" applyBorder="1"/>
    <xf numFmtId="0" fontId="2" fillId="0" borderId="5" xfId="0" applyFont="1" applyBorder="1"/>
    <xf numFmtId="0" fontId="2" fillId="0" borderId="6" xfId="0" applyFont="1" applyBorder="1"/>
    <xf numFmtId="3" fontId="1" fillId="15" borderId="7" xfId="0" applyNumberFormat="1" applyFont="1" applyFill="1" applyBorder="1" applyAlignment="1">
      <alignment horizontal="right"/>
    </xf>
    <xf numFmtId="3" fontId="1" fillId="15" borderId="7" xfId="0" applyNumberFormat="1" applyFont="1" applyFill="1" applyBorder="1" applyAlignment="1">
      <alignment horizontal="right" vertical="center"/>
    </xf>
    <xf numFmtId="1" fontId="2" fillId="0" borderId="8" xfId="0" applyNumberFormat="1" applyFont="1" applyBorder="1"/>
    <xf numFmtId="1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right"/>
    </xf>
    <xf numFmtId="0" fontId="4" fillId="11" borderId="7" xfId="16" applyNumberFormat="1" applyFont="1" applyFill="1" applyBorder="1"/>
    <xf numFmtId="170" fontId="0" fillId="0" borderId="7" xfId="16" applyNumberFormat="1" applyFont="1" applyBorder="1"/>
    <xf numFmtId="170" fontId="1" fillId="11" borderId="12" xfId="16" applyNumberFormat="1" applyFont="1" applyFill="1" applyBorder="1"/>
    <xf numFmtId="170" fontId="1" fillId="11" borderId="7" xfId="16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0" fillId="0" borderId="13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3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0" fontId="9" fillId="0" borderId="0" xfId="0" applyFont="1" applyAlignment="1">
      <alignment horizontal="center"/>
    </xf>
    <xf numFmtId="3" fontId="0" fillId="0" borderId="13" xfId="0" applyNumberFormat="1" applyBorder="1" applyAlignment="1">
      <alignment horizontal="right" vertical="center"/>
    </xf>
    <xf numFmtId="3" fontId="0" fillId="0" borderId="12" xfId="0" applyNumberFormat="1" applyBorder="1" applyAlignment="1">
      <alignment horizontal="right" vertical="center"/>
    </xf>
    <xf numFmtId="3" fontId="33" fillId="0" borderId="13" xfId="0" applyNumberFormat="1" applyFont="1" applyBorder="1" applyAlignment="1">
      <alignment horizontal="center" vertical="center"/>
    </xf>
    <xf numFmtId="3" fontId="33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/>
    <xf numFmtId="0" fontId="1" fillId="11" borderId="8" xfId="0" applyFont="1" applyFill="1" applyBorder="1" applyAlignment="1"/>
    <xf numFmtId="0" fontId="0" fillId="11" borderId="5" xfId="0" applyFill="1" applyBorder="1" applyAlignment="1"/>
    <xf numFmtId="0" fontId="0" fillId="11" borderId="6" xfId="0" applyFill="1" applyBorder="1" applyAlignment="1"/>
    <xf numFmtId="170" fontId="0" fillId="0" borderId="13" xfId="16" applyNumberFormat="1" applyFont="1" applyBorder="1" applyAlignment="1">
      <alignment horizontal="center" vertical="center"/>
    </xf>
    <xf numFmtId="170" fontId="0" fillId="0" borderId="12" xfId="16" applyNumberFormat="1" applyFont="1" applyBorder="1" applyAlignment="1">
      <alignment horizontal="center" vertical="center"/>
    </xf>
    <xf numFmtId="3" fontId="20" fillId="0" borderId="13" xfId="23" applyNumberFormat="1" applyFont="1" applyBorder="1" applyAlignment="1">
      <alignment horizontal="right" vertical="center"/>
    </xf>
    <xf numFmtId="3" fontId="20" fillId="0" borderId="12" xfId="23" applyNumberFormat="1" applyFont="1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3" xfId="23" applyBorder="1" applyAlignment="1">
      <alignment horizontal="center" vertical="center"/>
    </xf>
    <xf numFmtId="0" fontId="2" fillId="0" borderId="12" xfId="23" applyBorder="1" applyAlignment="1">
      <alignment horizontal="center" vertical="center"/>
    </xf>
    <xf numFmtId="0" fontId="20" fillId="0" borderId="13" xfId="23" applyFont="1" applyBorder="1" applyAlignment="1">
      <alignment horizontal="center" vertical="center"/>
    </xf>
    <xf numFmtId="0" fontId="20" fillId="0" borderId="12" xfId="23" applyFont="1" applyBorder="1" applyAlignment="1">
      <alignment horizontal="center" vertical="center"/>
    </xf>
    <xf numFmtId="0" fontId="2" fillId="0" borderId="12" xfId="21" applyBorder="1" applyAlignment="1"/>
    <xf numFmtId="3" fontId="2" fillId="0" borderId="7" xfId="21" applyNumberFormat="1" applyBorder="1" applyAlignment="1">
      <alignment horizontal="right" vertical="center"/>
    </xf>
    <xf numFmtId="3" fontId="33" fillId="0" borderId="13" xfId="23" applyNumberFormat="1" applyFont="1" applyBorder="1" applyAlignment="1">
      <alignment horizontal="right" vertical="center"/>
    </xf>
    <xf numFmtId="0" fontId="0" fillId="0" borderId="12" xfId="0" applyBorder="1" applyAlignment="1"/>
    <xf numFmtId="3" fontId="0" fillId="0" borderId="7" xfId="0" applyNumberFormat="1" applyBorder="1" applyAlignment="1">
      <alignment horizontal="right" vertical="center"/>
    </xf>
    <xf numFmtId="1" fontId="0" fillId="0" borderId="13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3" fontId="2" fillId="0" borderId="13" xfId="0" applyNumberFormat="1" applyFont="1" applyBorder="1" applyAlignment="1"/>
    <xf numFmtId="3" fontId="2" fillId="0" borderId="12" xfId="0" applyNumberFormat="1" applyFont="1" applyBorder="1" applyAlignment="1"/>
    <xf numFmtId="0" fontId="4" fillId="15" borderId="6" xfId="0" applyFont="1" applyFill="1" applyBorder="1" applyAlignment="1">
      <alignment horizontal="center"/>
    </xf>
    <xf numFmtId="0" fontId="0" fillId="0" borderId="0" xfId="0" applyBorder="1"/>
    <xf numFmtId="0" fontId="0" fillId="0" borderId="20" xfId="0" applyBorder="1"/>
  </cellXfs>
  <cellStyles count="31">
    <cellStyle name="Accent1 2" xfId="1"/>
    <cellStyle name="Accent2 2" xfId="2"/>
    <cellStyle name="Accent3 2" xfId="3"/>
    <cellStyle name="Accent4 2" xfId="4"/>
    <cellStyle name="Accent5 2" xfId="5"/>
    <cellStyle name="Accent6 2" xfId="6"/>
    <cellStyle name="Avertissement 2" xfId="7"/>
    <cellStyle name="Calcul 2" xfId="8"/>
    <cellStyle name="Cellule liée 2" xfId="9"/>
    <cellStyle name="Commentaire 2" xfId="10"/>
    <cellStyle name="Entrée 2" xfId="11"/>
    <cellStyle name="Komma" xfId="29" builtinId="3"/>
    <cellStyle name="Komma [0]" xfId="30" builtinId="6"/>
    <cellStyle name="Milliers [0] 2" xfId="12"/>
    <cellStyle name="Milliers [0] 2 2" xfId="13"/>
    <cellStyle name="Milliers [0] 2 2 2" xfId="14"/>
    <cellStyle name="Milliers 2" xfId="15"/>
    <cellStyle name="Milliers 3" xfId="16"/>
    <cellStyle name="Milliers 4" xfId="17"/>
    <cellStyle name="Milliers 5" xfId="18"/>
    <cellStyle name="Milliers 6" xfId="19"/>
    <cellStyle name="Normal 2" xfId="20"/>
    <cellStyle name="Normal 2 2" xfId="21"/>
    <cellStyle name="Normal 2 3" xfId="22"/>
    <cellStyle name="Normal 3" xfId="23"/>
    <cellStyle name="Normal 4" xfId="24"/>
    <cellStyle name="Normal 8" xfId="25"/>
    <cellStyle name="Pourcentage 2" xfId="26"/>
    <cellStyle name="Procent" xfId="27" builtinId="5"/>
    <cellStyle name="Sortie 2" xfId="28"/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2.xml"/><Relationship Id="rId18" Type="http://schemas.openxmlformats.org/officeDocument/2006/relationships/chartsheet" Target="chartsheets/sheet5.xml"/><Relationship Id="rId26" Type="http://schemas.openxmlformats.org/officeDocument/2006/relationships/chartsheet" Target="chartsheets/sheet13.xml"/><Relationship Id="rId39" Type="http://schemas.openxmlformats.org/officeDocument/2006/relationships/worksheet" Target="worksheets/sheet14.xml"/><Relationship Id="rId21" Type="http://schemas.openxmlformats.org/officeDocument/2006/relationships/chartsheet" Target="chartsheets/sheet8.xml"/><Relationship Id="rId34" Type="http://schemas.openxmlformats.org/officeDocument/2006/relationships/chartsheet" Target="chartsheets/sheet21.xml"/><Relationship Id="rId42" Type="http://schemas.openxmlformats.org/officeDocument/2006/relationships/worksheet" Target="worksheets/sheet15.xml"/><Relationship Id="rId7" Type="http://schemas.openxmlformats.org/officeDocument/2006/relationships/worksheet" Target="worksheets/sheet6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3.xml"/><Relationship Id="rId29" Type="http://schemas.openxmlformats.org/officeDocument/2006/relationships/chartsheet" Target="chartsheets/sheet16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5.xml"/><Relationship Id="rId11" Type="http://schemas.openxmlformats.org/officeDocument/2006/relationships/worksheet" Target="worksheets/sheet10.xml"/><Relationship Id="rId24" Type="http://schemas.openxmlformats.org/officeDocument/2006/relationships/chartsheet" Target="chartsheets/sheet11.xml"/><Relationship Id="rId32" Type="http://schemas.openxmlformats.org/officeDocument/2006/relationships/chartsheet" Target="chartsheets/sheet19.xml"/><Relationship Id="rId37" Type="http://schemas.openxmlformats.org/officeDocument/2006/relationships/chartsheet" Target="chartsheets/sheet24.xml"/><Relationship Id="rId40" Type="http://schemas.openxmlformats.org/officeDocument/2006/relationships/chartsheet" Target="chartsheets/sheet26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4.xml"/><Relationship Id="rId15" Type="http://schemas.openxmlformats.org/officeDocument/2006/relationships/chartsheet" Target="chartsheets/sheet2.xml"/><Relationship Id="rId23" Type="http://schemas.openxmlformats.org/officeDocument/2006/relationships/chartsheet" Target="chartsheets/sheet10.xml"/><Relationship Id="rId28" Type="http://schemas.openxmlformats.org/officeDocument/2006/relationships/chartsheet" Target="chartsheets/sheet15.xml"/><Relationship Id="rId36" Type="http://schemas.openxmlformats.org/officeDocument/2006/relationships/chartsheet" Target="chartsheets/sheet23.xml"/><Relationship Id="rId10" Type="http://schemas.openxmlformats.org/officeDocument/2006/relationships/worksheet" Target="worksheets/sheet9.xml"/><Relationship Id="rId19" Type="http://schemas.openxmlformats.org/officeDocument/2006/relationships/chartsheet" Target="chartsheets/sheet6.xml"/><Relationship Id="rId31" Type="http://schemas.openxmlformats.org/officeDocument/2006/relationships/chartsheet" Target="chartsheets/sheet18.xml"/><Relationship Id="rId44" Type="http://schemas.openxmlformats.org/officeDocument/2006/relationships/styles" Target="style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worksheet" Target="worksheets/sheet13.xml"/><Relationship Id="rId22" Type="http://schemas.openxmlformats.org/officeDocument/2006/relationships/chartsheet" Target="chartsheets/sheet9.xml"/><Relationship Id="rId27" Type="http://schemas.openxmlformats.org/officeDocument/2006/relationships/chartsheet" Target="chartsheets/sheet14.xml"/><Relationship Id="rId30" Type="http://schemas.openxmlformats.org/officeDocument/2006/relationships/chartsheet" Target="chartsheets/sheet17.xml"/><Relationship Id="rId35" Type="http://schemas.openxmlformats.org/officeDocument/2006/relationships/chartsheet" Target="chartsheets/sheet22.xml"/><Relationship Id="rId43" Type="http://schemas.openxmlformats.org/officeDocument/2006/relationships/theme" Target="theme/theme1.xml"/><Relationship Id="rId8" Type="http://schemas.openxmlformats.org/officeDocument/2006/relationships/worksheet" Target="worksheets/sheet7.xml"/><Relationship Id="rId3" Type="http://schemas.openxmlformats.org/officeDocument/2006/relationships/worksheet" Target="worksheets/sheet2.xml"/><Relationship Id="rId12" Type="http://schemas.openxmlformats.org/officeDocument/2006/relationships/worksheet" Target="worksheets/sheet11.xml"/><Relationship Id="rId17" Type="http://schemas.openxmlformats.org/officeDocument/2006/relationships/chartsheet" Target="chartsheets/sheet4.xml"/><Relationship Id="rId25" Type="http://schemas.openxmlformats.org/officeDocument/2006/relationships/chartsheet" Target="chartsheets/sheet12.xml"/><Relationship Id="rId33" Type="http://schemas.openxmlformats.org/officeDocument/2006/relationships/chartsheet" Target="chartsheets/sheet20.xml"/><Relationship Id="rId38" Type="http://schemas.openxmlformats.org/officeDocument/2006/relationships/chartsheet" Target="chartsheets/sheet25.xml"/><Relationship Id="rId46" Type="http://schemas.openxmlformats.org/officeDocument/2006/relationships/calcChain" Target="calcChain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2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Dactyle : évolution des superficies</a:t>
            </a:r>
          </a:p>
        </c:rich>
      </c:tx>
      <c:layout>
        <c:manualLayout>
          <c:xMode val="edge"/>
          <c:yMode val="edge"/>
          <c:x val="0.3166667351959595"/>
          <c:y val="2.02364429022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375000000000006E-2"/>
          <c:y val="0.13827993254637436"/>
          <c:w val="0.796875"/>
          <c:h val="0.79258010118043842"/>
        </c:manualLayout>
      </c:layout>
      <c:lineChart>
        <c:grouping val="standard"/>
        <c:varyColors val="0"/>
        <c:ser>
          <c:idx val="0"/>
          <c:order val="0"/>
          <c:tx>
            <c:strRef>
              <c:f>Feuil1!$A$13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cat>
            <c:numRef>
              <c:f>Feuil1!$B$1:$N$1</c:f>
              <c:numCache>
                <c:formatCode>General</c:formatCode>
                <c:ptCount val="13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 formatCode="00">
                  <c:v>0</c:v>
                </c:pt>
                <c:pt idx="4" formatCode="00">
                  <c:v>1</c:v>
                </c:pt>
                <c:pt idx="5" formatCode="00">
                  <c:v>2</c:v>
                </c:pt>
                <c:pt idx="6" formatCode="00">
                  <c:v>3</c:v>
                </c:pt>
                <c:pt idx="7" formatCode="00">
                  <c:v>4</c:v>
                </c:pt>
                <c:pt idx="8" formatCode="00">
                  <c:v>5</c:v>
                </c:pt>
                <c:pt idx="9" formatCode="00">
                  <c:v>6</c:v>
                </c:pt>
                <c:pt idx="10" formatCode="00">
                  <c:v>7</c:v>
                </c:pt>
                <c:pt idx="11" formatCode="00">
                  <c:v>8</c:v>
                </c:pt>
                <c:pt idx="12" formatCode="00">
                  <c:v>9</c:v>
                </c:pt>
              </c:numCache>
            </c:numRef>
          </c:cat>
          <c:val>
            <c:numRef>
              <c:f>Feuil1!$B$13:$N$13</c:f>
              <c:numCache>
                <c:formatCode>#,##0</c:formatCode>
                <c:ptCount val="13"/>
                <c:pt idx="0">
                  <c:v>1920</c:v>
                </c:pt>
                <c:pt idx="1">
                  <c:v>2264</c:v>
                </c:pt>
                <c:pt idx="2">
                  <c:v>2935</c:v>
                </c:pt>
                <c:pt idx="3">
                  <c:v>3495</c:v>
                </c:pt>
                <c:pt idx="4">
                  <c:v>3365</c:v>
                </c:pt>
                <c:pt idx="5">
                  <c:v>2462</c:v>
                </c:pt>
                <c:pt idx="6">
                  <c:v>1921</c:v>
                </c:pt>
                <c:pt idx="7">
                  <c:v>2158</c:v>
                </c:pt>
                <c:pt idx="8">
                  <c:v>2875</c:v>
                </c:pt>
                <c:pt idx="9" formatCode="General">
                  <c:v>3207</c:v>
                </c:pt>
                <c:pt idx="10">
                  <c:v>3720</c:v>
                </c:pt>
                <c:pt idx="11">
                  <c:v>3929</c:v>
                </c:pt>
                <c:pt idx="12">
                  <c:v>3691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86-479A-8633-6A6F8550325D}"/>
            </c:ext>
          </c:extLst>
        </c:ser>
        <c:ser>
          <c:idx val="1"/>
          <c:order val="1"/>
          <c:tx>
            <c:strRef>
              <c:f>Feuil1!$A$14</c:f>
              <c:strCache>
                <c:ptCount val="1"/>
                <c:pt idx="0">
                  <c:v>Danemark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</c:spPr>
          </c:marker>
          <c:cat>
            <c:numRef>
              <c:f>Feuil1!$B$1:$N$1</c:f>
              <c:numCache>
                <c:formatCode>General</c:formatCode>
                <c:ptCount val="13"/>
                <c:pt idx="0">
                  <c:v>97</c:v>
                </c:pt>
                <c:pt idx="1">
                  <c:v>98</c:v>
                </c:pt>
                <c:pt idx="2">
                  <c:v>99</c:v>
                </c:pt>
                <c:pt idx="3" formatCode="00">
                  <c:v>0</c:v>
                </c:pt>
                <c:pt idx="4" formatCode="00">
                  <c:v>1</c:v>
                </c:pt>
                <c:pt idx="5" formatCode="00">
                  <c:v>2</c:v>
                </c:pt>
                <c:pt idx="6" formatCode="00">
                  <c:v>3</c:v>
                </c:pt>
                <c:pt idx="7" formatCode="00">
                  <c:v>4</c:v>
                </c:pt>
                <c:pt idx="8" formatCode="00">
                  <c:v>5</c:v>
                </c:pt>
                <c:pt idx="9" formatCode="00">
                  <c:v>6</c:v>
                </c:pt>
                <c:pt idx="10" formatCode="00">
                  <c:v>7</c:v>
                </c:pt>
                <c:pt idx="11" formatCode="00">
                  <c:v>8</c:v>
                </c:pt>
                <c:pt idx="12" formatCode="00">
                  <c:v>9</c:v>
                </c:pt>
              </c:numCache>
            </c:numRef>
          </c:cat>
          <c:val>
            <c:numRef>
              <c:f>Feuil1!$B$14:$N$14</c:f>
              <c:numCache>
                <c:formatCode>#,##0</c:formatCode>
                <c:ptCount val="13"/>
                <c:pt idx="0">
                  <c:v>2448</c:v>
                </c:pt>
                <c:pt idx="1">
                  <c:v>2494</c:v>
                </c:pt>
                <c:pt idx="2">
                  <c:v>2658</c:v>
                </c:pt>
                <c:pt idx="3">
                  <c:v>3020</c:v>
                </c:pt>
                <c:pt idx="4">
                  <c:v>2923</c:v>
                </c:pt>
                <c:pt idx="5">
                  <c:v>3619</c:v>
                </c:pt>
                <c:pt idx="6">
                  <c:v>3769</c:v>
                </c:pt>
                <c:pt idx="7">
                  <c:v>3491</c:v>
                </c:pt>
                <c:pt idx="8">
                  <c:v>2662</c:v>
                </c:pt>
                <c:pt idx="9">
                  <c:v>2207</c:v>
                </c:pt>
                <c:pt idx="10">
                  <c:v>3255</c:v>
                </c:pt>
                <c:pt idx="11">
                  <c:v>4563</c:v>
                </c:pt>
                <c:pt idx="12">
                  <c:v>5312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86-479A-8633-6A6F85503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399296"/>
        <c:axId val="306545216"/>
      </c:lineChart>
      <c:catAx>
        <c:axId val="30539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65452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65452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en ha</a:t>
                </a:r>
              </a:p>
            </c:rich>
          </c:tx>
          <c:layout>
            <c:manualLayout>
              <c:xMode val="edge"/>
              <c:yMode val="edge"/>
              <c:x val="1.1458234822474867E-2"/>
              <c:y val="0.5059021753636727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5399296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9237200441328646"/>
          <c:y val="0.49322033898305084"/>
          <c:w val="0.10344825695743642"/>
          <c:h val="7.457627118644072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cocksfoot seed area / dactyle</a:t>
            </a:r>
          </a:p>
        </c:rich>
      </c:tx>
      <c:layout>
        <c:manualLayout>
          <c:xMode val="edge"/>
          <c:yMode val="edge"/>
          <c:x val="0.2979165949729749"/>
          <c:y val="2.02363088452327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99774793286545E-2"/>
          <c:y val="0.12928876276252271"/>
          <c:w val="0.89352818371607512"/>
          <c:h val="0.73876949724718755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données!$A$67</c:f>
              <c:strCache>
                <c:ptCount val="1"/>
                <c:pt idx="0">
                  <c:v>Germany</c:v>
                </c:pt>
              </c:strCache>
            </c:strRef>
          </c:tx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77-48A2-8CF5-FF03AD61B547}"/>
                </c:ext>
              </c:extLst>
            </c:dLbl>
            <c:dLbl>
              <c:idx val="4"/>
              <c:layout>
                <c:manualLayout>
                  <c:x val="-1.6701461377870666E-2"/>
                  <c:y val="-3.1584884376762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3366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77-48A2-8CF5-FF03AD61B54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B77-48A2-8CF5-FF03AD61B547}"/>
                </c:ext>
              </c:extLst>
            </c:dLbl>
            <c:dLbl>
              <c:idx val="7"/>
              <c:layout>
                <c:manualLayout>
                  <c:x val="-0.64119452709329916"/>
                  <c:y val="0.12093866439283922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155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données!$U$66:$AB$66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données!$U$67:$AA$67</c:f>
              <c:numCache>
                <c:formatCode>#,##0</c:formatCode>
                <c:ptCount val="7"/>
                <c:pt idx="0">
                  <c:v>179</c:v>
                </c:pt>
                <c:pt idx="1">
                  <c:v>222</c:v>
                </c:pt>
                <c:pt idx="2">
                  <c:v>211</c:v>
                </c:pt>
                <c:pt idx="3">
                  <c:v>208</c:v>
                </c:pt>
                <c:pt idx="4">
                  <c:v>202</c:v>
                </c:pt>
                <c:pt idx="5">
                  <c:v>223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DB77-48A2-8CF5-FF03AD61B547}"/>
            </c:ext>
          </c:extLst>
        </c:ser>
        <c:ser>
          <c:idx val="1"/>
          <c:order val="1"/>
          <c:tx>
            <c:strRef>
              <c:f>données!$A$68</c:f>
              <c:strCache>
                <c:ptCount val="1"/>
                <c:pt idx="0">
                  <c:v>Denmark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5.6944401200630358E-2"/>
                  <c:y val="-4.4988820841839212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2 116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B77-48A2-8CF5-FF03AD61B547}"/>
                </c:ext>
              </c:extLst>
            </c:dLbl>
            <c:dLbl>
              <c:idx val="4"/>
              <c:layout>
                <c:manualLayout>
                  <c:x val="-5.567153792623623E-3"/>
                  <c:y val="-2.256063169768755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B77-48A2-8CF5-FF03AD61B54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B77-48A2-8CF5-FF03AD61B547}"/>
                </c:ext>
              </c:extLst>
            </c:dLbl>
            <c:dLbl>
              <c:idx val="7"/>
              <c:layout>
                <c:manualLayout>
                  <c:x val="-2.6361429066944154E-2"/>
                  <c:y val="-3.815937149270482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2 815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données!$U$66:$AB$66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données!$U$68:$AA$68</c:f>
              <c:numCache>
                <c:formatCode>#,##0</c:formatCode>
                <c:ptCount val="7"/>
                <c:pt idx="0">
                  <c:v>4262</c:v>
                </c:pt>
                <c:pt idx="1">
                  <c:v>4898</c:v>
                </c:pt>
                <c:pt idx="2">
                  <c:v>5288</c:v>
                </c:pt>
                <c:pt idx="3">
                  <c:v>5628</c:v>
                </c:pt>
                <c:pt idx="4">
                  <c:v>4662</c:v>
                </c:pt>
                <c:pt idx="5">
                  <c:v>3221</c:v>
                </c:pt>
                <c:pt idx="6">
                  <c:v>3476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DB77-48A2-8CF5-FF03AD61B547}"/>
            </c:ext>
          </c:extLst>
        </c:ser>
        <c:ser>
          <c:idx val="2"/>
          <c:order val="2"/>
          <c:tx>
            <c:strRef>
              <c:f>données!$A$69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37347633834E-2"/>
                  <c:y val="-2.0205731859275166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66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3 240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B77-48A2-8CF5-FF03AD61B54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B77-48A2-8CF5-FF03AD61B547}"/>
                </c:ext>
              </c:extLst>
            </c:dLbl>
            <c:dLbl>
              <c:idx val="5"/>
              <c:layout>
                <c:manualLayout>
                  <c:x val="-1.2526096033403026E-2"/>
                  <c:y val="-3.38409475465313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B77-48A2-8CF5-FF03AD61B547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B77-48A2-8CF5-FF03AD61B547}"/>
                </c:ext>
              </c:extLst>
            </c:dLbl>
            <c:dLbl>
              <c:idx val="8"/>
              <c:layout>
                <c:manualLayout>
                  <c:x val="-6.9372181755116202E-3"/>
                  <c:y val="-3.1425364758698095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66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1 760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9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données!$U$66:$AB$66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données!$U$69:$AB$69</c:f>
              <c:numCache>
                <c:formatCode>#,##0</c:formatCode>
                <c:ptCount val="8"/>
                <c:pt idx="0">
                  <c:v>1745</c:v>
                </c:pt>
                <c:pt idx="1">
                  <c:v>1883</c:v>
                </c:pt>
                <c:pt idx="2">
                  <c:v>2083</c:v>
                </c:pt>
                <c:pt idx="3">
                  <c:v>2531</c:v>
                </c:pt>
                <c:pt idx="4">
                  <c:v>2702</c:v>
                </c:pt>
                <c:pt idx="5">
                  <c:v>2811</c:v>
                </c:pt>
                <c:pt idx="6">
                  <c:v>2838</c:v>
                </c:pt>
                <c:pt idx="7">
                  <c:v>2272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DB77-48A2-8CF5-FF03AD61B547}"/>
            </c:ext>
          </c:extLst>
        </c:ser>
        <c:ser>
          <c:idx val="4"/>
          <c:order val="3"/>
          <c:tx>
            <c:strRef>
              <c:f>données!$A$71</c:f>
              <c:strCache>
                <c:ptCount val="1"/>
                <c:pt idx="0">
                  <c:v>Sweden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dLbls>
            <c:dLbl>
              <c:idx val="5"/>
              <c:layout>
                <c:manualLayout>
                  <c:x val="-2.7835768963118627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B77-48A2-8CF5-FF03AD61B54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données!$U$66:$AB$66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données!$U$71:$AA$71</c:f>
              <c:numCache>
                <c:formatCode>#,##0</c:formatCode>
                <c:ptCount val="7"/>
                <c:pt idx="0">
                  <c:v>235.8</c:v>
                </c:pt>
                <c:pt idx="1">
                  <c:v>333.4</c:v>
                </c:pt>
                <c:pt idx="2">
                  <c:v>410</c:v>
                </c:pt>
                <c:pt idx="3">
                  <c:v>832</c:v>
                </c:pt>
                <c:pt idx="4">
                  <c:v>1108</c:v>
                </c:pt>
                <c:pt idx="5">
                  <c:v>850</c:v>
                </c:pt>
                <c:pt idx="6">
                  <c:v>571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DB77-48A2-8CF5-FF03AD61B547}"/>
            </c:ext>
          </c:extLst>
        </c:ser>
        <c:ser>
          <c:idx val="5"/>
          <c:order val="4"/>
          <c:tx>
            <c:strRef>
              <c:f>données!$A$72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714853021103894E-2"/>
                  <c:y val="-3.5179617699302737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272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E-DB77-48A2-8CF5-FF03AD61B54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B77-48A2-8CF5-FF03AD61B54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B77-48A2-8CF5-FF03AD61B54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B77-48A2-8CF5-FF03AD61B54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B77-48A2-8CF5-FF03AD61B547}"/>
                </c:ext>
              </c:extLst>
            </c:dLbl>
            <c:dLbl>
              <c:idx val="5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B77-48A2-8CF5-FF03AD61B54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B77-48A2-8CF5-FF03AD61B547}"/>
                </c:ext>
              </c:extLst>
            </c:dLbl>
            <c:dLbl>
              <c:idx val="7"/>
              <c:layout>
                <c:manualLayout>
                  <c:x val="1.2599630682907852E-2"/>
                  <c:y val="7.8786344600325978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5-DB77-48A2-8CF5-FF03AD61B547}"/>
                </c:ext>
              </c:extLst>
            </c:dLbl>
            <c:dLbl>
              <c:idx val="8"/>
              <c:layout>
                <c:manualLayout>
                  <c:x val="1.220938196921627E-3"/>
                  <c:y val="-3.9939423815677864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6-DB77-48A2-8CF5-FF03AD61B54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données!$U$66:$AB$66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données!$U$72:$AB$72</c:f>
              <c:numCache>
                <c:formatCode>#,##0</c:formatCode>
                <c:ptCount val="8"/>
                <c:pt idx="0">
                  <c:v>42.3</c:v>
                </c:pt>
                <c:pt idx="1">
                  <c:v>97.5</c:v>
                </c:pt>
                <c:pt idx="2">
                  <c:v>55.2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8-DB77-48A2-8CF5-FF03AD61B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256640"/>
        <c:axId val="309572672"/>
      </c:lineChart>
      <c:catAx>
        <c:axId val="31025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572672"/>
        <c:crosses val="autoZero"/>
        <c:auto val="1"/>
        <c:lblAlgn val="ctr"/>
        <c:lblOffset val="800"/>
        <c:tickLblSkip val="1"/>
        <c:noMultiLvlLbl val="0"/>
      </c:catAx>
      <c:valAx>
        <c:axId val="309572672"/>
        <c:scaling>
          <c:orientation val="minMax"/>
          <c:min val="-2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2526103331776556E-2"/>
              <c:y val="4.29762188817306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256640"/>
        <c:crosses val="autoZero"/>
        <c:crossBetween val="between"/>
        <c:maj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9.3249868220166551E-2"/>
          <c:y val="0.91878169269245391"/>
          <c:w val="0.8100208389664092"/>
          <c:h val="6.93738787702042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phleum seed areas / fléole</a:t>
            </a:r>
          </a:p>
        </c:rich>
      </c:tx>
      <c:layout>
        <c:manualLayout>
          <c:xMode val="edge"/>
          <c:yMode val="edge"/>
          <c:x val="0.32395833333333335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054133858267701E-2"/>
          <c:y val="0.13742612083591371"/>
          <c:w val="0.87336756342957145"/>
          <c:h val="0.7153658758281840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données!$A$77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3333CC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E5-4061-8CC3-A82DFB17B01F}"/>
                </c:ext>
              </c:extLst>
            </c:dLbl>
            <c:dLbl>
              <c:idx val="7"/>
              <c:layout>
                <c:manualLayout>
                  <c:x val="-2.7778871391075095E-3"/>
                  <c:y val="-3.3687943889502046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975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données!$U$76:$AB$76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données!$U$77:$AA$77</c:f>
              <c:numCache>
                <c:formatCode>#,##0</c:formatCode>
                <c:ptCount val="7"/>
                <c:pt idx="0">
                  <c:v>900</c:v>
                </c:pt>
                <c:pt idx="1">
                  <c:v>980</c:v>
                </c:pt>
                <c:pt idx="2">
                  <c:v>654</c:v>
                </c:pt>
                <c:pt idx="3">
                  <c:v>699</c:v>
                </c:pt>
                <c:pt idx="4">
                  <c:v>552</c:v>
                </c:pt>
                <c:pt idx="5">
                  <c:v>861</c:v>
                </c:pt>
                <c:pt idx="6">
                  <c:v>920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6E5-4061-8CC3-A82DFB17B01F}"/>
            </c:ext>
          </c:extLst>
        </c:ser>
        <c:ser>
          <c:idx val="1"/>
          <c:order val="1"/>
          <c:tx>
            <c:strRef>
              <c:f>données!$A$78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E5-4061-8CC3-A82DFB1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541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C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données!$U$76:$AB$76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données!$U$78:$AA$78</c:f>
              <c:numCache>
                <c:formatCode>#,##0</c:formatCode>
                <c:ptCount val="7"/>
                <c:pt idx="0">
                  <c:v>372</c:v>
                </c:pt>
                <c:pt idx="1">
                  <c:v>343</c:v>
                </c:pt>
                <c:pt idx="2">
                  <c:v>672</c:v>
                </c:pt>
                <c:pt idx="3">
                  <c:v>499</c:v>
                </c:pt>
                <c:pt idx="4">
                  <c:v>657</c:v>
                </c:pt>
                <c:pt idx="5">
                  <c:v>764</c:v>
                </c:pt>
                <c:pt idx="6">
                  <c:v>918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56E5-4061-8CC3-A82DFB17B01F}"/>
            </c:ext>
          </c:extLst>
        </c:ser>
        <c:ser>
          <c:idx val="2"/>
          <c:order val="2"/>
          <c:tx>
            <c:strRef>
              <c:f>données!$A$79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6E5-4061-8CC3-A82DFB17B01F}"/>
                </c:ext>
              </c:extLst>
            </c:dLbl>
            <c:dLbl>
              <c:idx val="4"/>
              <c:layout>
                <c:manualLayout>
                  <c:x val="-5.5677657925896473E-3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6E5-4061-8CC3-A82DFB17B01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6E5-4061-8CC3-A82DFB17B01F}"/>
                </c:ext>
              </c:extLst>
            </c:dLbl>
            <c:dLbl>
              <c:idx val="7"/>
              <c:layout>
                <c:manualLayout>
                  <c:x val="-6.9444444444445464E-3"/>
                  <c:y val="-3.368794388950213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8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4 805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4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données!$U$76:$AB$76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données!$U$79:$AB$79</c:f>
              <c:numCache>
                <c:formatCode>#,##0</c:formatCode>
                <c:ptCount val="8"/>
                <c:pt idx="0">
                  <c:v>5290.8</c:v>
                </c:pt>
                <c:pt idx="1">
                  <c:v>4478.5</c:v>
                </c:pt>
                <c:pt idx="2">
                  <c:v>3706</c:v>
                </c:pt>
                <c:pt idx="3">
                  <c:v>3632</c:v>
                </c:pt>
                <c:pt idx="4">
                  <c:v>4000</c:v>
                </c:pt>
                <c:pt idx="5">
                  <c:v>4103</c:v>
                </c:pt>
                <c:pt idx="6">
                  <c:v>4744</c:v>
                </c:pt>
                <c:pt idx="7">
                  <c:v>4725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56E5-4061-8CC3-A82DFB17B01F}"/>
            </c:ext>
          </c:extLst>
        </c:ser>
        <c:ser>
          <c:idx val="3"/>
          <c:order val="3"/>
          <c:tx>
            <c:strRef>
              <c:f>données!$A$80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6E5-4061-8CC3-A82DFB17B01F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6E5-4061-8CC3-A82DFB17B01F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6E5-4061-8CC3-A82DFB17B01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6E5-4061-8CC3-A82DFB17B01F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6E5-4061-8CC3-A82DFB17B01F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8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6 908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B-56E5-4061-8CC3-A82DFB17B01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données!$U$76:$AB$76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données!$U$80:$AA$80</c:f>
              <c:numCache>
                <c:formatCode>#,##0</c:formatCode>
                <c:ptCount val="7"/>
                <c:pt idx="0">
                  <c:v>7773</c:v>
                </c:pt>
                <c:pt idx="1">
                  <c:v>7964</c:v>
                </c:pt>
                <c:pt idx="2">
                  <c:v>7859</c:v>
                </c:pt>
                <c:pt idx="3">
                  <c:v>7593</c:v>
                </c:pt>
                <c:pt idx="4">
                  <c:v>8011</c:v>
                </c:pt>
                <c:pt idx="5">
                  <c:v>6402</c:v>
                </c:pt>
                <c:pt idx="6">
                  <c:v>8003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56E5-4061-8CC3-A82DFB17B01F}"/>
            </c:ext>
          </c:extLst>
        </c:ser>
        <c:ser>
          <c:idx val="4"/>
          <c:order val="4"/>
          <c:tx>
            <c:strRef>
              <c:f>données!$A$81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données!$U$76:$AB$76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données!$S$81:$X$81</c:f>
              <c:numCache>
                <c:formatCode>General</c:formatCode>
                <c:ptCount val="6"/>
                <c:pt idx="4">
                  <c:v>251</c:v>
                </c:pt>
                <c:pt idx="5">
                  <c:v>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56E5-4061-8CC3-A82DFB17B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682624"/>
        <c:axId val="309574976"/>
      </c:lineChart>
      <c:catAx>
        <c:axId val="31068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574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574976"/>
        <c:scaling>
          <c:orientation val="minMax"/>
          <c:min val="0"/>
        </c:scaling>
        <c:delete val="0"/>
        <c:axPos val="l"/>
        <c:majorGridlines>
          <c:spPr>
            <a:ln w="3175">
              <a:gradFill>
                <a:gsLst>
                  <a:gs pos="0">
                    <a:srgbClr val="DDEBCF"/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2.0833333333333333E-3"/>
              <c:y val="0.467115968934233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682624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9.4211723534558187E-2"/>
          <c:y val="0.94067791814519308"/>
          <c:w val="0.84247976815398062"/>
          <c:h val="5.932208185480691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red fescue seed area : fétuque rouge</a:t>
            </a:r>
          </a:p>
        </c:rich>
      </c:tx>
      <c:layout>
        <c:manualLayout>
          <c:xMode val="edge"/>
          <c:yMode val="edge"/>
          <c:x val="0.24425882501364443"/>
          <c:y val="1.8612571733618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42528452210696"/>
          <c:y val="0.10318431531774008"/>
          <c:w val="0.86221294363256784"/>
          <c:h val="0.71428334084502054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données!$A$93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63300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0"/>
                  <c:y val="1.579244218838127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données!$U$92:$AB$92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données!$U$93:$AB$93</c:f>
              <c:numCache>
                <c:formatCode>#,##0</c:formatCode>
                <c:ptCount val="8"/>
                <c:pt idx="0">
                  <c:v>37</c:v>
                </c:pt>
                <c:pt idx="1">
                  <c:v>32</c:v>
                </c:pt>
                <c:pt idx="2">
                  <c:v>25</c:v>
                </c:pt>
                <c:pt idx="3">
                  <c:v>0</c:v>
                </c:pt>
                <c:pt idx="4">
                  <c:v>49</c:v>
                </c:pt>
                <c:pt idx="5">
                  <c:v>34</c:v>
                </c:pt>
                <c:pt idx="6">
                  <c:v>16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525-4D2E-8F83-19CAD278796D}"/>
            </c:ext>
          </c:extLst>
        </c:ser>
        <c:ser>
          <c:idx val="1"/>
          <c:order val="1"/>
          <c:tx>
            <c:strRef>
              <c:f>données!$A$94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C0C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cat>
            <c:strRef>
              <c:f>données!$U$92:$AB$92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données!$U$94:$AA$94</c:f>
              <c:numCache>
                <c:formatCode>#,##0</c:formatCode>
                <c:ptCount val="7"/>
                <c:pt idx="0">
                  <c:v>1575</c:v>
                </c:pt>
                <c:pt idx="1">
                  <c:v>1609</c:v>
                </c:pt>
                <c:pt idx="2">
                  <c:v>2170</c:v>
                </c:pt>
                <c:pt idx="3">
                  <c:v>1937</c:v>
                </c:pt>
                <c:pt idx="4">
                  <c:v>1741</c:v>
                </c:pt>
                <c:pt idx="5">
                  <c:v>1806</c:v>
                </c:pt>
                <c:pt idx="6">
                  <c:v>1946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525-4D2E-8F83-19CAD278796D}"/>
            </c:ext>
          </c:extLst>
        </c:ser>
        <c:ser>
          <c:idx val="2"/>
          <c:order val="2"/>
          <c:tx>
            <c:strRef>
              <c:f>données!$A$95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8080FF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1.3917884481558804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données!$U$92:$AB$92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données!$U$95:$AA$95</c:f>
              <c:numCache>
                <c:formatCode>#,##0</c:formatCode>
                <c:ptCount val="7"/>
                <c:pt idx="0">
                  <c:v>17771</c:v>
                </c:pt>
                <c:pt idx="1">
                  <c:v>17958</c:v>
                </c:pt>
                <c:pt idx="2">
                  <c:v>22509</c:v>
                </c:pt>
                <c:pt idx="3">
                  <c:v>19441</c:v>
                </c:pt>
                <c:pt idx="4">
                  <c:v>19346</c:v>
                </c:pt>
                <c:pt idx="5">
                  <c:v>22160</c:v>
                </c:pt>
                <c:pt idx="6">
                  <c:v>26393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525-4D2E-8F83-19CAD278796D}"/>
            </c:ext>
          </c:extLst>
        </c:ser>
        <c:ser>
          <c:idx val="3"/>
          <c:order val="3"/>
          <c:tx>
            <c:strRef>
              <c:f>données!$A$96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4.1753653444676405E-3"/>
                  <c:y val="-1.353637901861252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données!$U$92:$AB$92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données!$U$96:$AB$96</c:f>
              <c:numCache>
                <c:formatCode>#,##0</c:formatCode>
                <c:ptCount val="8"/>
                <c:pt idx="0">
                  <c:v>750</c:v>
                </c:pt>
                <c:pt idx="1">
                  <c:v>893</c:v>
                </c:pt>
                <c:pt idx="2">
                  <c:v>997</c:v>
                </c:pt>
                <c:pt idx="3">
                  <c:v>733</c:v>
                </c:pt>
                <c:pt idx="4">
                  <c:v>816</c:v>
                </c:pt>
                <c:pt idx="5">
                  <c:v>859</c:v>
                </c:pt>
                <c:pt idx="6">
                  <c:v>1021</c:v>
                </c:pt>
                <c:pt idx="7">
                  <c:v>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525-4D2E-8F83-19CAD278796D}"/>
            </c:ext>
          </c:extLst>
        </c:ser>
        <c:ser>
          <c:idx val="5"/>
          <c:order val="4"/>
          <c:tx>
            <c:strRef>
              <c:f>données!$A$98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-4.1753653444676405E-3"/>
                  <c:y val="-2.03045685279187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25-4D2E-8F83-19CAD278796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données!$U$92:$AB$92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données!$U$98:$AB$98</c:f>
              <c:numCache>
                <c:formatCode>#,##0</c:formatCode>
                <c:ptCount val="8"/>
                <c:pt idx="0">
                  <c:v>1876.7</c:v>
                </c:pt>
                <c:pt idx="1">
                  <c:v>2436.1999999999998</c:v>
                </c:pt>
                <c:pt idx="2">
                  <c:v>2956</c:v>
                </c:pt>
                <c:pt idx="3">
                  <c:v>2586</c:v>
                </c:pt>
                <c:pt idx="4">
                  <c:v>3333</c:v>
                </c:pt>
                <c:pt idx="5">
                  <c:v>3573</c:v>
                </c:pt>
                <c:pt idx="6">
                  <c:v>3507</c:v>
                </c:pt>
                <c:pt idx="7">
                  <c:v>3133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525-4D2E-8F83-19CAD278796D}"/>
            </c:ext>
          </c:extLst>
        </c:ser>
        <c:ser>
          <c:idx val="6"/>
          <c:order val="5"/>
          <c:tx>
            <c:strRef>
              <c:f>données!$A$99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Ref>
              <c:f>données!$U$92:$AB$92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données!$U$99:$AB$99</c:f>
              <c:numCache>
                <c:formatCode>#,##0</c:formatCode>
                <c:ptCount val="8"/>
                <c:pt idx="0">
                  <c:v>358</c:v>
                </c:pt>
                <c:pt idx="1">
                  <c:v>496</c:v>
                </c:pt>
                <c:pt idx="2">
                  <c:v>449.3</c:v>
                </c:pt>
                <c:pt idx="3">
                  <c:v>576</c:v>
                </c:pt>
                <c:pt idx="4">
                  <c:v>540</c:v>
                </c:pt>
                <c:pt idx="5">
                  <c:v>532.29999999999995</c:v>
                </c:pt>
                <c:pt idx="6">
                  <c:v>621.29999999999995</c:v>
                </c:pt>
                <c:pt idx="7">
                  <c:v>522.6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6525-4D2E-8F83-19CAD278796D}"/>
            </c:ext>
          </c:extLst>
        </c:ser>
        <c:ser>
          <c:idx val="4"/>
          <c:order val="6"/>
          <c:tx>
            <c:strRef>
              <c:f>données!$A$97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données!$U$92:$AB$92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données!$U$97:$Y$97</c:f>
              <c:numCache>
                <c:formatCode>#,##0</c:formatCode>
                <c:ptCount val="5"/>
                <c:pt idx="0">
                  <c:v>309</c:v>
                </c:pt>
                <c:pt idx="2">
                  <c:v>370</c:v>
                </c:pt>
                <c:pt idx="3">
                  <c:v>310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6525-4D2E-8F83-19CAD27879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870528"/>
        <c:axId val="310354496"/>
      </c:lineChart>
      <c:catAx>
        <c:axId val="31087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354496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310354496"/>
        <c:scaling>
          <c:orientation val="minMax"/>
          <c:min val="-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56852706970950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870528"/>
        <c:crosses val="autoZero"/>
        <c:crossBetween val="between"/>
        <c:majorUnit val="8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7"/>
        <c:delete val="1"/>
      </c:legendEntry>
      <c:layout>
        <c:manualLayout>
          <c:xMode val="edge"/>
          <c:yMode val="edge"/>
          <c:x val="7.4190067934298193E-2"/>
          <c:y val="0.89265554517549717"/>
          <c:w val="0.90310610860162854"/>
          <c:h val="6.553672316384184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bluegrass seed area / paturin</a:t>
            </a:r>
          </a:p>
        </c:rich>
      </c:tx>
      <c:layout>
        <c:manualLayout>
          <c:xMode val="edge"/>
          <c:yMode val="edge"/>
          <c:x val="0.29687505137014453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95698606567705"/>
          <c:y val="0.12974264003801556"/>
          <c:w val="0.84294533120729431"/>
          <c:h val="0.7498221877817276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données!$A$85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cat>
            <c:strRef>
              <c:f>données!$U$83:$AB$83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données!$U$85:$AA$85</c:f>
              <c:numCache>
                <c:formatCode>#,##0</c:formatCode>
                <c:ptCount val="7"/>
                <c:pt idx="0">
                  <c:v>57</c:v>
                </c:pt>
                <c:pt idx="1">
                  <c:v>77</c:v>
                </c:pt>
                <c:pt idx="2">
                  <c:v>80</c:v>
                </c:pt>
                <c:pt idx="3">
                  <c:v>75</c:v>
                </c:pt>
                <c:pt idx="4">
                  <c:v>81</c:v>
                </c:pt>
                <c:pt idx="5">
                  <c:v>39</c:v>
                </c:pt>
                <c:pt idx="6">
                  <c:v>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424-4660-ACDD-957366043C01}"/>
            </c:ext>
          </c:extLst>
        </c:ser>
        <c:ser>
          <c:idx val="2"/>
          <c:order val="1"/>
          <c:tx>
            <c:strRef>
              <c:f>données!$A$86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2.7835768963118627E-3"/>
                  <c:y val="-2.707275803722504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données!$U$83:$AB$83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données!$U$86:$AA$86</c:f>
              <c:numCache>
                <c:formatCode>#,##0</c:formatCode>
                <c:ptCount val="7"/>
                <c:pt idx="0">
                  <c:v>7009</c:v>
                </c:pt>
                <c:pt idx="1">
                  <c:v>7928</c:v>
                </c:pt>
                <c:pt idx="2">
                  <c:v>8755</c:v>
                </c:pt>
                <c:pt idx="3">
                  <c:v>10243</c:v>
                </c:pt>
                <c:pt idx="4">
                  <c:v>9202</c:v>
                </c:pt>
                <c:pt idx="5">
                  <c:v>9094</c:v>
                </c:pt>
                <c:pt idx="6">
                  <c:v>9517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424-4660-ACDD-957366043C01}"/>
            </c:ext>
          </c:extLst>
        </c:ser>
        <c:ser>
          <c:idx val="5"/>
          <c:order val="2"/>
          <c:tx>
            <c:strRef>
              <c:f>données!$A$88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8.350730688935281E-3"/>
                  <c:y val="-3.384094754653130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données!$U$83:$AB$83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données!$U$88:$AB$88</c:f>
              <c:numCache>
                <c:formatCode>#,##0</c:formatCode>
                <c:ptCount val="8"/>
                <c:pt idx="0">
                  <c:v>228.3</c:v>
                </c:pt>
                <c:pt idx="1">
                  <c:v>328.8</c:v>
                </c:pt>
                <c:pt idx="2">
                  <c:v>447</c:v>
                </c:pt>
                <c:pt idx="3">
                  <c:v>470</c:v>
                </c:pt>
                <c:pt idx="4">
                  <c:v>383</c:v>
                </c:pt>
                <c:pt idx="5">
                  <c:v>403</c:v>
                </c:pt>
                <c:pt idx="6">
                  <c:v>409</c:v>
                </c:pt>
                <c:pt idx="7">
                  <c:v>379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424-4660-ACDD-957366043C01}"/>
            </c:ext>
          </c:extLst>
        </c:ser>
        <c:ser>
          <c:idx val="0"/>
          <c:order val="3"/>
          <c:tx>
            <c:strRef>
              <c:f>données!$A$84</c:f>
              <c:strCache>
                <c:ptCount val="1"/>
                <c:pt idx="0">
                  <c:v>Belgium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24-4660-ACDD-957366043C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données!$U$83:$AB$83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données!$U$84:$AB$84</c:f>
              <c:numCache>
                <c:formatCode>0</c:formatCode>
                <c:ptCount val="8"/>
                <c:pt idx="0">
                  <c:v>77</c:v>
                </c:pt>
                <c:pt idx="1">
                  <c:v>82</c:v>
                </c:pt>
                <c:pt idx="2">
                  <c:v>79</c:v>
                </c:pt>
                <c:pt idx="3">
                  <c:v>67</c:v>
                </c:pt>
                <c:pt idx="4">
                  <c:v>69</c:v>
                </c:pt>
                <c:pt idx="5">
                  <c:v>62</c:v>
                </c:pt>
                <c:pt idx="6">
                  <c:v>69</c:v>
                </c:pt>
                <c:pt idx="7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C424-4660-ACDD-957366043C01}"/>
            </c:ext>
          </c:extLst>
        </c:ser>
        <c:ser>
          <c:idx val="3"/>
          <c:order val="4"/>
          <c:tx>
            <c:strRef>
              <c:f>données!$A$87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données!$U$83:$AB$83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données!$U$87:$Y$87</c:f>
              <c:numCache>
                <c:formatCode>General</c:formatCode>
                <c:ptCount val="5"/>
                <c:pt idx="0">
                  <c:v>333</c:v>
                </c:pt>
                <c:pt idx="2">
                  <c:v>399</c:v>
                </c:pt>
                <c:pt idx="3">
                  <c:v>321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C424-4660-ACDD-957366043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054848"/>
        <c:axId val="310357952"/>
      </c:lineChart>
      <c:catAx>
        <c:axId val="31105484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357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357952"/>
        <c:scaling>
          <c:orientation val="minMax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1134307585247043E-2"/>
              <c:y val="3.338245155903735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054848"/>
        <c:crosses val="autoZero"/>
        <c:crossBetween val="between"/>
        <c:majorUnit val="1000"/>
        <c:minorUnit val="300"/>
      </c:valAx>
      <c:spPr>
        <a:solidFill>
          <a:srgbClr val="FFFFCC"/>
        </a:solidFill>
        <a:ln w="25400">
          <a:noFill/>
        </a:ln>
      </c:spPr>
    </c:plotArea>
    <c:legend>
      <c:legendPos val="r"/>
      <c:legendEntry>
        <c:idx val="5"/>
        <c:delete val="1"/>
      </c:legendEntry>
      <c:layout>
        <c:manualLayout>
          <c:xMode val="edge"/>
          <c:yMode val="edge"/>
          <c:x val="0.21294363256784968"/>
          <c:y val="0.92893401015228427"/>
          <c:w val="0.55369782848125193"/>
          <c:h val="7.106598984771572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meadow fescue seed area : fétuque des prés</a:t>
            </a:r>
          </a:p>
        </c:rich>
      </c:tx>
      <c:layout>
        <c:manualLayout>
          <c:xMode val="edge"/>
          <c:yMode val="edge"/>
          <c:x val="0.19166709177026853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375782881002084E-2"/>
          <c:y val="0.12521150592216582"/>
          <c:w val="0.89665970772442594"/>
          <c:h val="0.72758037225042305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données!$A$103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3919414481472841E-3"/>
                  <c:y val="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données!$U$102:$AB$102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données!$U$103:$AA$103</c:f>
              <c:numCache>
                <c:formatCode>#,##0</c:formatCode>
                <c:ptCount val="7"/>
                <c:pt idx="0">
                  <c:v>2205</c:v>
                </c:pt>
                <c:pt idx="1">
                  <c:v>2115</c:v>
                </c:pt>
                <c:pt idx="2">
                  <c:v>2060</c:v>
                </c:pt>
                <c:pt idx="3">
                  <c:v>1884</c:v>
                </c:pt>
                <c:pt idx="4">
                  <c:v>2051</c:v>
                </c:pt>
                <c:pt idx="5">
                  <c:v>2306</c:v>
                </c:pt>
                <c:pt idx="6">
                  <c:v>2414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6-444F-AEFB-3D11E4CCCAFD}"/>
            </c:ext>
          </c:extLst>
        </c:ser>
        <c:ser>
          <c:idx val="1"/>
          <c:order val="1"/>
          <c:tx>
            <c:strRef>
              <c:f>données!$A$104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4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données!$U$102:$AB$102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données!$U$104:$AA$104</c:f>
              <c:numCache>
                <c:formatCode>#,##0</c:formatCode>
                <c:ptCount val="7"/>
                <c:pt idx="0">
                  <c:v>514</c:v>
                </c:pt>
                <c:pt idx="1">
                  <c:v>414</c:v>
                </c:pt>
                <c:pt idx="2">
                  <c:v>448</c:v>
                </c:pt>
                <c:pt idx="3">
                  <c:v>210</c:v>
                </c:pt>
                <c:pt idx="4">
                  <c:v>731</c:v>
                </c:pt>
                <c:pt idx="5">
                  <c:v>1204</c:v>
                </c:pt>
                <c:pt idx="6">
                  <c:v>1334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926-444F-AEFB-3D11E4CCCAFD}"/>
            </c:ext>
          </c:extLst>
        </c:ser>
        <c:ser>
          <c:idx val="2"/>
          <c:order val="2"/>
          <c:tx>
            <c:strRef>
              <c:f>données!$A$105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données!$U$102:$AB$102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données!$U$105:$AB$105</c:f>
              <c:numCache>
                <c:formatCode>#,##0</c:formatCode>
                <c:ptCount val="8"/>
                <c:pt idx="0">
                  <c:v>2280.1999999999998</c:v>
                </c:pt>
                <c:pt idx="1">
                  <c:v>2346.9</c:v>
                </c:pt>
                <c:pt idx="2">
                  <c:v>2239</c:v>
                </c:pt>
                <c:pt idx="3">
                  <c:v>1768</c:v>
                </c:pt>
                <c:pt idx="4">
                  <c:v>1508</c:v>
                </c:pt>
                <c:pt idx="5">
                  <c:v>1908</c:v>
                </c:pt>
                <c:pt idx="6">
                  <c:v>1889</c:v>
                </c:pt>
                <c:pt idx="7">
                  <c:v>1924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926-444F-AEFB-3D11E4CCCAFD}"/>
            </c:ext>
          </c:extLst>
        </c:ser>
        <c:ser>
          <c:idx val="3"/>
          <c:order val="3"/>
          <c:tx>
            <c:strRef>
              <c:f>données!$A$106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4"/>
            <c:spPr>
              <a:solidFill>
                <a:srgbClr val="00CCFF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926-444F-AEFB-3D11E4CCCA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données!$U$102:$AB$102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données!$U$106:$AB$106</c:f>
              <c:numCache>
                <c:formatCode>0</c:formatCode>
                <c:ptCount val="8"/>
                <c:pt idx="0">
                  <c:v>1569</c:v>
                </c:pt>
                <c:pt idx="1">
                  <c:v>1617</c:v>
                </c:pt>
                <c:pt idx="2">
                  <c:v>1760</c:v>
                </c:pt>
                <c:pt idx="3">
                  <c:v>1733</c:v>
                </c:pt>
                <c:pt idx="4">
                  <c:v>1678</c:v>
                </c:pt>
                <c:pt idx="5">
                  <c:v>1305</c:v>
                </c:pt>
                <c:pt idx="6">
                  <c:v>1975</c:v>
                </c:pt>
                <c:pt idx="7">
                  <c:v>1889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926-444F-AEFB-3D11E4CCC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369728"/>
        <c:axId val="310360256"/>
      </c:lineChart>
      <c:catAx>
        <c:axId val="31136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036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0360256"/>
        <c:scaling>
          <c:orientation val="minMax"/>
          <c:max val="4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3.1245937517998339E-3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369728"/>
        <c:crosses val="autoZero"/>
        <c:crossBetween val="between"/>
        <c:majorUnit val="1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8.8819226750261229E-2"/>
          <c:y val="0.92203389830508475"/>
          <c:w val="0.87911907563278724"/>
          <c:h val="4.74576271186440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tall fescue seed areas / fétuque élevée</a:t>
            </a:r>
          </a:p>
        </c:rich>
      </c:tx>
      <c:layout>
        <c:manualLayout>
          <c:xMode val="edge"/>
          <c:yMode val="edge"/>
          <c:x val="0.24479165809602951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820937912068099E-2"/>
          <c:y val="0.12521150592216582"/>
          <c:w val="0.87195147012581287"/>
          <c:h val="0.7072758037225042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données!$A$110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5.2777777777777778E-2"/>
                  <c:y val="3.3687943889502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13-441B-A733-B89B9F66780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213-441B-A733-B89B9F66780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13-441B-A733-B89B9F66780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213-441B-A733-B89B9F667805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13-441B-A733-B89B9F667805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4 386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B213-441B-A733-B89B9F6678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données!$U$109:$AB$109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données!$U$110:$AA$110</c:f>
              <c:numCache>
                <c:formatCode>#,##0</c:formatCode>
                <c:ptCount val="7"/>
                <c:pt idx="0">
                  <c:v>3676</c:v>
                </c:pt>
                <c:pt idx="1">
                  <c:v>5911</c:v>
                </c:pt>
                <c:pt idx="2">
                  <c:v>7700</c:v>
                </c:pt>
                <c:pt idx="3">
                  <c:v>7255</c:v>
                </c:pt>
                <c:pt idx="4">
                  <c:v>6971</c:v>
                </c:pt>
                <c:pt idx="5">
                  <c:v>6562</c:v>
                </c:pt>
                <c:pt idx="6">
                  <c:v>6959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213-441B-A733-B89B9F667805}"/>
            </c:ext>
          </c:extLst>
        </c:ser>
        <c:ser>
          <c:idx val="1"/>
          <c:order val="1"/>
          <c:tx>
            <c:strRef>
              <c:f>données!$A$111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chemeClr val="tx2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dLbls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données!$U$109:$AB$109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données!$U$111:$AB$111</c:f>
              <c:numCache>
                <c:formatCode>#,##0</c:formatCode>
                <c:ptCount val="8"/>
                <c:pt idx="0">
                  <c:v>1875</c:v>
                </c:pt>
                <c:pt idx="1">
                  <c:v>2325</c:v>
                </c:pt>
                <c:pt idx="2">
                  <c:v>2478</c:v>
                </c:pt>
                <c:pt idx="3">
                  <c:v>2649</c:v>
                </c:pt>
                <c:pt idx="4">
                  <c:v>2677</c:v>
                </c:pt>
                <c:pt idx="5">
                  <c:v>2585</c:v>
                </c:pt>
                <c:pt idx="6">
                  <c:v>2637</c:v>
                </c:pt>
                <c:pt idx="7">
                  <c:v>2232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B213-441B-A733-B89B9F667805}"/>
            </c:ext>
          </c:extLst>
        </c:ser>
        <c:ser>
          <c:idx val="2"/>
          <c:order val="2"/>
          <c:tx>
            <c:strRef>
              <c:f>données!$A$112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023381452318459E-2"/>
                  <c:y val="6.6472237420603444E-3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8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1 721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1-B213-441B-A733-B89B9F667805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213-441B-A733-B89B9F667805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213-441B-A733-B89B9F66780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213-441B-A733-B89B9F667805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213-441B-A733-B89B9F667805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213-441B-A733-B89B9F667805}"/>
                </c:ext>
              </c:extLst>
            </c:dLbl>
            <c:dLbl>
              <c:idx val="7"/>
              <c:layout>
                <c:manualLayout>
                  <c:x val="-1.6703297377768635E-2"/>
                  <c:y val="-2.93523478233660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213-441B-A733-B89B9F66780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8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données!$U$109:$AB$109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données!$U$112:$X$112</c:f>
              <c:numCache>
                <c:formatCode>#,##0</c:formatCode>
                <c:ptCount val="4"/>
                <c:pt idx="0">
                  <c:v>956</c:v>
                </c:pt>
                <c:pt idx="2">
                  <c:v>1327</c:v>
                </c:pt>
                <c:pt idx="3">
                  <c:v>1630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B213-441B-A733-B89B9F667805}"/>
            </c:ext>
          </c:extLst>
        </c:ser>
        <c:ser>
          <c:idx val="3"/>
          <c:order val="3"/>
          <c:tx>
            <c:strRef>
              <c:f>données!$A$113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996633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11111111111108E-2"/>
                  <c:y val="-1.7966903407734471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213-441B-A733-B89B9F667805}"/>
                </c:ext>
              </c:extLst>
            </c:dLbl>
            <c:dLbl>
              <c:idx val="4"/>
              <c:layout>
                <c:manualLayout>
                  <c:x val="-4.1758243444421587E-3"/>
                  <c:y val="-2.935234782336607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6633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862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A-B213-441B-A733-B89B9F667805}"/>
                </c:ext>
              </c:extLst>
            </c:dLbl>
            <c:dLbl>
              <c:idx val="5"/>
              <c:layout>
                <c:manualLayout>
                  <c:x val="1.0207452702382844E-16"/>
                  <c:y val="-2.483660200438659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données!$U$109:$AB$109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données!$U$113:$AB$113</c:f>
              <c:numCache>
                <c:formatCode>General</c:formatCode>
                <c:ptCount val="8"/>
                <c:pt idx="0">
                  <c:v>861.8</c:v>
                </c:pt>
                <c:pt idx="1">
                  <c:v>805.8</c:v>
                </c:pt>
                <c:pt idx="2">
                  <c:v>1181</c:v>
                </c:pt>
                <c:pt idx="3">
                  <c:v>1169</c:v>
                </c:pt>
                <c:pt idx="4">
                  <c:v>1713</c:v>
                </c:pt>
                <c:pt idx="5">
                  <c:v>2158</c:v>
                </c:pt>
                <c:pt idx="6">
                  <c:v>2325</c:v>
                </c:pt>
                <c:pt idx="7">
                  <c:v>2057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B213-441B-A733-B89B9F667805}"/>
            </c:ext>
          </c:extLst>
        </c:ser>
        <c:ser>
          <c:idx val="4"/>
          <c:order val="4"/>
          <c:tx>
            <c:strRef>
              <c:f>données!$A$114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00"/>
              </a:solidFill>
            </a:ln>
          </c:spPr>
          <c:marker>
            <c:symbol val="star"/>
            <c:size val="6"/>
            <c:spPr>
              <a:solidFill>
                <a:srgbClr val="FF0000"/>
              </a:solidFill>
            </c:spPr>
          </c:marker>
          <c:dLbls>
            <c:dLbl>
              <c:idx val="4"/>
              <c:layout>
                <c:manualLayout>
                  <c:x val="0"/>
                  <c:y val="-9.031491637958790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213-441B-A733-B89B9F6678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données!$U$109:$AB$109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données!$U$114:$AB$114</c:f>
              <c:numCache>
                <c:formatCode>General</c:formatCode>
                <c:ptCount val="8"/>
                <c:pt idx="0">
                  <c:v>129</c:v>
                </c:pt>
                <c:pt idx="1">
                  <c:v>139</c:v>
                </c:pt>
                <c:pt idx="2">
                  <c:v>65</c:v>
                </c:pt>
                <c:pt idx="3">
                  <c:v>129</c:v>
                </c:pt>
                <c:pt idx="4">
                  <c:v>199</c:v>
                </c:pt>
                <c:pt idx="5">
                  <c:v>151</c:v>
                </c:pt>
                <c:pt idx="6">
                  <c:v>361</c:v>
                </c:pt>
                <c:pt idx="7">
                  <c:v>308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E-B213-441B-A733-B89B9F6678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92608"/>
        <c:axId val="311427648"/>
      </c:lineChart>
      <c:catAx>
        <c:axId val="311492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42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1427648"/>
        <c:scaling>
          <c:orientation val="minMax"/>
          <c:max val="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187925960665E-2"/>
              <c:y val="0.480663374705280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492608"/>
        <c:crosses val="autoZero"/>
        <c:crossBetween val="between"/>
        <c:majorUnit val="2000"/>
        <c:minorUnit val="1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3792088684839154E-2"/>
          <c:y val="0.89887023444103387"/>
          <c:w val="0.9211846951732916"/>
          <c:h val="8.53107344632768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sheep fescue seed area / fétuque ovine</a:t>
            </a:r>
          </a:p>
        </c:rich>
      </c:tx>
      <c:layout>
        <c:manualLayout>
          <c:xMode val="edge"/>
          <c:yMode val="edge"/>
          <c:x val="0.23020835561698985"/>
          <c:y val="2.0236131500511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81210855949897E-2"/>
          <c:y val="0.13367174280879865"/>
          <c:w val="0.89665970772442594"/>
          <c:h val="0.7123519458544839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données!$A$117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1388888888888887E-2"/>
                  <c:y val="-1.5721040481767659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1 366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F39F-463D-97BB-CD9792295F55}"/>
                </c:ext>
              </c:extLst>
            </c:dLbl>
            <c:dLbl>
              <c:idx val="4"/>
              <c:layout>
                <c:manualLayout>
                  <c:x val="0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9F-463D-97BB-CD9792295F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données!$U$116:$AA$116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données!$U$117:$AA$117</c:f>
              <c:numCache>
                <c:formatCode>#,##0</c:formatCode>
                <c:ptCount val="7"/>
                <c:pt idx="0">
                  <c:v>1494</c:v>
                </c:pt>
                <c:pt idx="1">
                  <c:v>1423</c:v>
                </c:pt>
                <c:pt idx="2">
                  <c:v>1413</c:v>
                </c:pt>
                <c:pt idx="3">
                  <c:v>1309</c:v>
                </c:pt>
                <c:pt idx="4">
                  <c:v>1481</c:v>
                </c:pt>
                <c:pt idx="5">
                  <c:v>1426</c:v>
                </c:pt>
                <c:pt idx="6">
                  <c:v>1340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9F-463D-97BB-CD9792295F55}"/>
            </c:ext>
          </c:extLst>
        </c:ser>
        <c:ser>
          <c:idx val="1"/>
          <c:order val="1"/>
          <c:tx>
            <c:strRef>
              <c:f>données!$A$118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layout>
                <c:manualLayout>
                  <c:x val="-4.583333333333333E-2"/>
                  <c:y val="2.9196218037568514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1 332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39F-463D-97BB-CD9792295F55}"/>
                </c:ext>
              </c:extLst>
            </c:dLbl>
            <c:dLbl>
              <c:idx val="4"/>
              <c:layout>
                <c:manualLayout>
                  <c:x val="0"/>
                  <c:y val="-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9F-463D-97BB-CD9792295F5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données!$U$116:$AA$116</c:f>
              <c:numCache>
                <c:formatCode>0</c:formatCode>
                <c:ptCount val="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</c:numCache>
            </c:numRef>
          </c:cat>
          <c:val>
            <c:numRef>
              <c:f>données!$U$118:$AA$118</c:f>
              <c:numCache>
                <c:formatCode>#,##0</c:formatCode>
                <c:ptCount val="7"/>
                <c:pt idx="0">
                  <c:v>786</c:v>
                </c:pt>
                <c:pt idx="1">
                  <c:v>979</c:v>
                </c:pt>
                <c:pt idx="2">
                  <c:v>1402</c:v>
                </c:pt>
                <c:pt idx="3">
                  <c:v>990</c:v>
                </c:pt>
                <c:pt idx="4">
                  <c:v>713</c:v>
                </c:pt>
                <c:pt idx="5">
                  <c:v>780</c:v>
                </c:pt>
                <c:pt idx="6">
                  <c:v>1018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F39F-463D-97BB-CD9792295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1496192"/>
        <c:axId val="311429952"/>
      </c:lineChart>
      <c:catAx>
        <c:axId val="311496192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429952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11429952"/>
        <c:scaling>
          <c:orientation val="minMax"/>
          <c:max val="1800"/>
          <c:min val="0"/>
        </c:scaling>
        <c:delete val="0"/>
        <c:axPos val="l"/>
        <c:majorGridlines>
          <c:spPr>
            <a:ln w="0">
              <a:solidFill>
                <a:schemeClr val="tx1">
                  <a:lumMod val="65000"/>
                  <a:lumOff val="3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9387873126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496192"/>
        <c:crosses val="autoZero"/>
        <c:crossBetween val="between"/>
        <c:majorUnit val="4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0010559024949459E-2"/>
          <c:y val="0.94067796610169496"/>
          <c:w val="0.88192267502612331"/>
          <c:h val="3.728831353707906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 b="0" i="0" u="none" strike="noStrike" baseline="0">
                <a:solidFill>
                  <a:srgbClr val="000000"/>
                </a:solidFill>
                <a:latin typeface="Albertus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lbertus"/>
              </a:rPr>
              <a:t>perenial ryegrass seed areas / RGA</a:t>
            </a:r>
          </a:p>
        </c:rich>
      </c:tx>
      <c:layout>
        <c:manualLayout>
          <c:xMode val="edge"/>
          <c:yMode val="edge"/>
          <c:x val="0.25937539939169046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156576200417533E-2"/>
          <c:y val="0.116751269035533"/>
          <c:w val="0.89248434237995822"/>
          <c:h val="0.7208121827411168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données!$A$124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données!$U$124:$AB$124</c:f>
              <c:numCache>
                <c:formatCode>#,##0</c:formatCode>
                <c:ptCount val="8"/>
                <c:pt idx="0">
                  <c:v>358</c:v>
                </c:pt>
                <c:pt idx="1">
                  <c:v>358</c:v>
                </c:pt>
                <c:pt idx="2">
                  <c:v>410</c:v>
                </c:pt>
                <c:pt idx="3">
                  <c:v>455</c:v>
                </c:pt>
                <c:pt idx="4">
                  <c:v>517</c:v>
                </c:pt>
                <c:pt idx="5">
                  <c:v>532</c:v>
                </c:pt>
                <c:pt idx="6">
                  <c:v>407</c:v>
                </c:pt>
                <c:pt idx="7">
                  <c:v>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CCD-45AB-B26B-AA3A0D108088}"/>
            </c:ext>
          </c:extLst>
        </c:ser>
        <c:ser>
          <c:idx val="1"/>
          <c:order val="1"/>
          <c:tx>
            <c:strRef>
              <c:f>données!$A$125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C0C0C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données!$U$125:$AA$125</c:f>
              <c:numCache>
                <c:formatCode>#,##0</c:formatCode>
                <c:ptCount val="7"/>
                <c:pt idx="0">
                  <c:v>4720</c:v>
                </c:pt>
                <c:pt idx="1">
                  <c:v>4684</c:v>
                </c:pt>
                <c:pt idx="2">
                  <c:v>4881</c:v>
                </c:pt>
                <c:pt idx="3">
                  <c:v>5823</c:v>
                </c:pt>
                <c:pt idx="4">
                  <c:v>6582</c:v>
                </c:pt>
                <c:pt idx="5">
                  <c:v>6821</c:v>
                </c:pt>
                <c:pt idx="6">
                  <c:v>5904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CD-45AB-B26B-AA3A0D108088}"/>
            </c:ext>
          </c:extLst>
        </c:ser>
        <c:ser>
          <c:idx val="2"/>
          <c:order val="2"/>
          <c:tx>
            <c:strRef>
              <c:f>données!$A$126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1.0207452702382844E-16"/>
                  <c:y val="-2.2578729094897016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CD-45AB-B26B-AA3A0D10808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données!$U$126:$AA$126</c:f>
              <c:numCache>
                <c:formatCode>#,##0</c:formatCode>
                <c:ptCount val="7"/>
                <c:pt idx="0">
                  <c:v>24074</c:v>
                </c:pt>
                <c:pt idx="1">
                  <c:v>25956</c:v>
                </c:pt>
                <c:pt idx="2">
                  <c:v>34583</c:v>
                </c:pt>
                <c:pt idx="3">
                  <c:v>43012</c:v>
                </c:pt>
                <c:pt idx="4">
                  <c:v>43777</c:v>
                </c:pt>
                <c:pt idx="5">
                  <c:v>48184</c:v>
                </c:pt>
                <c:pt idx="6">
                  <c:v>51726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CD-45AB-B26B-AA3A0D108088}"/>
            </c:ext>
          </c:extLst>
        </c:ser>
        <c:ser>
          <c:idx val="3"/>
          <c:order val="3"/>
          <c:tx>
            <c:strRef>
              <c:f>données!$A$127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CD-45AB-B26B-AA3A0D10808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D-45AB-B26B-AA3A0D10808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CD-45AB-B26B-AA3A0D10808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D-45AB-B26B-AA3A0D10808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CCD-45AB-B26B-AA3A0D108088}"/>
                </c:ext>
              </c:extLst>
            </c:dLbl>
            <c:dLbl>
              <c:idx val="5"/>
              <c:layout>
                <c:manualLayout>
                  <c:x val="-1.0207452702382844E-16"/>
                  <c:y val="-1.1289364547448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CD-45AB-B26B-AA3A0D10808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CD-45AB-B26B-AA3A0D108088}"/>
                </c:ext>
              </c:extLst>
            </c:dLbl>
            <c:dLbl>
              <c:idx val="7"/>
              <c:layout>
                <c:manualLayout>
                  <c:x val="-4.1666666666666768E-2"/>
                  <c:y val="-1.572104048176765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CD-45AB-B26B-AA3A0D108088}"/>
                </c:ext>
              </c:extLst>
            </c:dLbl>
            <c:dLbl>
              <c:idx val="8"/>
              <c:layout>
                <c:manualLayout>
                  <c:x val="0"/>
                  <c:y val="-8.983451703867235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CD-45AB-B26B-AA3A0D1080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données!$U$127:$AB$127</c:f>
              <c:numCache>
                <c:formatCode>#,##0</c:formatCode>
                <c:ptCount val="8"/>
                <c:pt idx="0">
                  <c:v>2546</c:v>
                </c:pt>
                <c:pt idx="1">
                  <c:v>2636</c:v>
                </c:pt>
                <c:pt idx="2">
                  <c:v>2832</c:v>
                </c:pt>
                <c:pt idx="3">
                  <c:v>2656</c:v>
                </c:pt>
                <c:pt idx="4">
                  <c:v>2858</c:v>
                </c:pt>
                <c:pt idx="5">
                  <c:v>3080</c:v>
                </c:pt>
                <c:pt idx="6">
                  <c:v>2830</c:v>
                </c:pt>
                <c:pt idx="7">
                  <c:v>2294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CCD-45AB-B26B-AA3A0D108088}"/>
            </c:ext>
          </c:extLst>
        </c:ser>
        <c:ser>
          <c:idx val="5"/>
          <c:order val="4"/>
          <c:tx>
            <c:strRef>
              <c:f>données!$A$129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données!$U$129:$AB$129</c:f>
              <c:numCache>
                <c:formatCode>#,##0</c:formatCode>
                <c:ptCount val="8"/>
                <c:pt idx="0">
                  <c:v>428.6</c:v>
                </c:pt>
                <c:pt idx="1">
                  <c:v>419.1</c:v>
                </c:pt>
                <c:pt idx="2">
                  <c:v>447</c:v>
                </c:pt>
                <c:pt idx="3">
                  <c:v>1087</c:v>
                </c:pt>
                <c:pt idx="4">
                  <c:v>1090</c:v>
                </c:pt>
                <c:pt idx="5">
                  <c:v>1582</c:v>
                </c:pt>
                <c:pt idx="6">
                  <c:v>1129</c:v>
                </c:pt>
                <c:pt idx="7">
                  <c:v>894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CCD-45AB-B26B-AA3A0D108088}"/>
            </c:ext>
          </c:extLst>
        </c:ser>
        <c:ser>
          <c:idx val="6"/>
          <c:order val="5"/>
          <c:tx>
            <c:strRef>
              <c:f>données!$A$130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CCD-45AB-B26B-AA3A0D108088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CCD-45AB-B26B-AA3A0D108088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CCD-45AB-B26B-AA3A0D108088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CCD-45AB-B26B-AA3A0D108088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CCD-45AB-B26B-AA3A0D108088}"/>
                </c:ext>
              </c:extLst>
            </c:dLbl>
            <c:dLbl>
              <c:idx val="5"/>
              <c:layout>
                <c:manualLayout>
                  <c:x val="-4.175824344442261E-3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CCD-45AB-B26B-AA3A0D108088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CCD-45AB-B26B-AA3A0D108088}"/>
                </c:ext>
              </c:extLst>
            </c:dLbl>
            <c:dLbl>
              <c:idx val="7"/>
              <c:layout>
                <c:manualLayout>
                  <c:x val="4.166557305336935E-3"/>
                  <c:y val="-3.144243464273625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4 795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6-ACCD-45AB-B26B-AA3A0D108088}"/>
                </c:ext>
              </c:extLst>
            </c:dLbl>
            <c:dLbl>
              <c:idx val="8"/>
              <c:layout>
                <c:manualLayout>
                  <c:x val="0"/>
                  <c:y val="-8.983451703867316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CCD-45AB-B26B-AA3A0D10808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données!$U$130:$AB$130</c:f>
              <c:numCache>
                <c:formatCode>#,##0</c:formatCode>
                <c:ptCount val="8"/>
                <c:pt idx="0">
                  <c:v>5086.2</c:v>
                </c:pt>
                <c:pt idx="1">
                  <c:v>4731.0999999999995</c:v>
                </c:pt>
                <c:pt idx="2">
                  <c:v>5342</c:v>
                </c:pt>
                <c:pt idx="3">
                  <c:v>5565</c:v>
                </c:pt>
                <c:pt idx="4">
                  <c:v>6070</c:v>
                </c:pt>
                <c:pt idx="5">
                  <c:v>6586.8000000000011</c:v>
                </c:pt>
                <c:pt idx="6">
                  <c:v>7193.7000000000007</c:v>
                </c:pt>
                <c:pt idx="7">
                  <c:v>6604.1999999999989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CCD-45AB-B26B-AA3A0D108088}"/>
            </c:ext>
          </c:extLst>
        </c:ser>
        <c:ser>
          <c:idx val="4"/>
          <c:order val="6"/>
          <c:tx>
            <c:strRef>
              <c:f>données!$A$128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données!$U$128:$X$128</c:f>
              <c:numCache>
                <c:formatCode>#,##0</c:formatCode>
                <c:ptCount val="4"/>
                <c:pt idx="0">
                  <c:v>9542</c:v>
                </c:pt>
                <c:pt idx="2">
                  <c:v>9230</c:v>
                </c:pt>
                <c:pt idx="3">
                  <c:v>11271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CCD-45AB-B26B-AA3A0D108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86016"/>
        <c:axId val="311432256"/>
      </c:lineChart>
      <c:catAx>
        <c:axId val="3120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4322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311432256"/>
        <c:scaling>
          <c:orientation val="minMax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4">
                      <a:lumMod val="75000"/>
                    </a:schemeClr>
                  </a:gs>
                  <a:gs pos="33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670322557642677E-2"/>
              <c:y val="4.886729836736509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086016"/>
        <c:crosses val="autoZero"/>
        <c:crossBetween val="between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4621633110908158"/>
          <c:y val="0.88592606432670495"/>
          <c:w val="0.82034584234964358"/>
          <c:h val="9.712460518706345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 perenial ryegrass seed area (without</a:t>
            </a:r>
            <a:r>
              <a:rPr lang="fr-FR" baseline="0"/>
              <a:t> Demnark)</a:t>
            </a:r>
            <a:endParaRPr lang="fr-FR"/>
          </a:p>
        </c:rich>
      </c:tx>
      <c:layout>
        <c:manualLayout>
          <c:xMode val="edge"/>
          <c:yMode val="edge"/>
          <c:x val="0.26666666666666666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31439189640185E-2"/>
          <c:y val="0.12473823341534568"/>
          <c:w val="0.88656521130602806"/>
          <c:h val="0.72866856790232759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données!$A$124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1.7966903407734471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811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4B-4A7D-8F95-BCDCFFCFAD62}"/>
                </c:ext>
              </c:extLst>
            </c:dLbl>
            <c:dLbl>
              <c:idx val="7"/>
              <c:layout>
                <c:manualLayout>
                  <c:x val="-2.7777777777777779E-3"/>
                  <c:y val="2.021276633370127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333399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404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336666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données!$U$124:$AB$124</c:f>
              <c:numCache>
                <c:formatCode>#,##0</c:formatCode>
                <c:ptCount val="8"/>
                <c:pt idx="0">
                  <c:v>358</c:v>
                </c:pt>
                <c:pt idx="1">
                  <c:v>358</c:v>
                </c:pt>
                <c:pt idx="2">
                  <c:v>410</c:v>
                </c:pt>
                <c:pt idx="3">
                  <c:v>455</c:v>
                </c:pt>
                <c:pt idx="4">
                  <c:v>517</c:v>
                </c:pt>
                <c:pt idx="5">
                  <c:v>532</c:v>
                </c:pt>
                <c:pt idx="6">
                  <c:v>407</c:v>
                </c:pt>
                <c:pt idx="7">
                  <c:v>378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F4B-4A7D-8F95-BCDCFFCFAD62}"/>
            </c:ext>
          </c:extLst>
        </c:ser>
        <c:ser>
          <c:idx val="1"/>
          <c:order val="1"/>
          <c:tx>
            <c:strRef>
              <c:f>données!$A$125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9722222222222225E-2"/>
                  <c:y val="-2.0212766333701237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9 841</a:t>
                    </a:r>
                  </a:p>
                </c:rich>
              </c:tx>
              <c:spPr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F4B-4A7D-8F95-BCDCFFCFAD6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4B-4A7D-8F95-BCDCFFCFAD62}"/>
                </c:ext>
              </c:extLst>
            </c:dLbl>
            <c:dLbl>
              <c:idx val="7"/>
              <c:layout>
                <c:manualLayout>
                  <c:x val="-1.9444444444444445E-2"/>
                  <c:y val="-5.3900710223203405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FF00FF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5 511</a:t>
                    </a:r>
                  </a:p>
                </c:rich>
              </c:tx>
              <c:spPr>
                <a:ln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E-2F4B-4A7D-8F95-BCDCFFCFAD62}"/>
                </c:ext>
              </c:extLst>
            </c:dLbl>
            <c:spPr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données!$U$125:$AA$125</c:f>
              <c:numCache>
                <c:formatCode>#,##0</c:formatCode>
                <c:ptCount val="7"/>
                <c:pt idx="0">
                  <c:v>4720</c:v>
                </c:pt>
                <c:pt idx="1">
                  <c:v>4684</c:v>
                </c:pt>
                <c:pt idx="2">
                  <c:v>4881</c:v>
                </c:pt>
                <c:pt idx="3">
                  <c:v>5823</c:v>
                </c:pt>
                <c:pt idx="4">
                  <c:v>6582</c:v>
                </c:pt>
                <c:pt idx="5">
                  <c:v>6821</c:v>
                </c:pt>
                <c:pt idx="6">
                  <c:v>5904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F4B-4A7D-8F95-BCDCFFCFAD62}"/>
            </c:ext>
          </c:extLst>
        </c:ser>
        <c:ser>
          <c:idx val="3"/>
          <c:order val="2"/>
          <c:tx>
            <c:strRef>
              <c:f>données!$A$127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données!$U$127:$AB$127</c:f>
              <c:numCache>
                <c:formatCode>#,##0</c:formatCode>
                <c:ptCount val="8"/>
                <c:pt idx="0">
                  <c:v>2546</c:v>
                </c:pt>
                <c:pt idx="1">
                  <c:v>2636</c:v>
                </c:pt>
                <c:pt idx="2">
                  <c:v>2832</c:v>
                </c:pt>
                <c:pt idx="3">
                  <c:v>2656</c:v>
                </c:pt>
                <c:pt idx="4">
                  <c:v>2858</c:v>
                </c:pt>
                <c:pt idx="5">
                  <c:v>3080</c:v>
                </c:pt>
                <c:pt idx="6">
                  <c:v>2830</c:v>
                </c:pt>
                <c:pt idx="7">
                  <c:v>2294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F4B-4A7D-8F95-BCDCFFCFAD62}"/>
            </c:ext>
          </c:extLst>
        </c:ser>
        <c:ser>
          <c:idx val="5"/>
          <c:order val="3"/>
          <c:tx>
            <c:strRef>
              <c:f>données!$A$129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-2.470449218563489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F4B-4A7D-8F95-BCDCFFCFAD62}"/>
                </c:ext>
              </c:extLst>
            </c:dLbl>
            <c:dLbl>
              <c:idx val="5"/>
              <c:layout>
                <c:manualLayout>
                  <c:x val="0"/>
                  <c:y val="-2.483660200438667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F4B-4A7D-8F95-BCDCFFCFAD62}"/>
                </c:ext>
              </c:extLst>
            </c:dLbl>
            <c:dLbl>
              <c:idx val="7"/>
              <c:layout>
                <c:manualLayout>
                  <c:x val="-4.1666666666666666E-3"/>
                  <c:y val="-2.4704492185634894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6633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395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F-2F4B-4A7D-8F95-BCDCFFCFAD62}"/>
                </c:ext>
              </c:extLst>
            </c:dLbl>
            <c:dLbl>
              <c:idx val="8"/>
              <c:layout>
                <c:manualLayout>
                  <c:x val="-6.9597072407369311E-3"/>
                  <c:y val="-3.386809364234546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33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6633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données!$U$129:$AB$129</c:f>
              <c:numCache>
                <c:formatCode>#,##0</c:formatCode>
                <c:ptCount val="8"/>
                <c:pt idx="0">
                  <c:v>428.6</c:v>
                </c:pt>
                <c:pt idx="1">
                  <c:v>419.1</c:v>
                </c:pt>
                <c:pt idx="2">
                  <c:v>447</c:v>
                </c:pt>
                <c:pt idx="3">
                  <c:v>1087</c:v>
                </c:pt>
                <c:pt idx="4">
                  <c:v>1090</c:v>
                </c:pt>
                <c:pt idx="5">
                  <c:v>1582</c:v>
                </c:pt>
                <c:pt idx="6">
                  <c:v>1129</c:v>
                </c:pt>
                <c:pt idx="7">
                  <c:v>894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1-2F4B-4A7D-8F95-BCDCFFCFAD62}"/>
            </c:ext>
          </c:extLst>
        </c:ser>
        <c:ser>
          <c:idx val="6"/>
          <c:order val="4"/>
          <c:tx>
            <c:strRef>
              <c:f>données!$A$130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555555555555552E-2"/>
                  <c:y val="1.79669034077344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F4B-4A7D-8F95-BCDCFFCFAD6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F4B-4A7D-8F95-BCDCFFCFAD6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F4B-4A7D-8F95-BCDCFFCFAD6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F4B-4A7D-8F95-BCDCFFCFAD6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F4B-4A7D-8F95-BCDCFFCFAD6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F4B-4A7D-8F95-BCDCFFCFAD62}"/>
                </c:ext>
              </c:extLst>
            </c:dLbl>
            <c:dLbl>
              <c:idx val="7"/>
              <c:layout>
                <c:manualLayout>
                  <c:x val="0"/>
                  <c:y val="-3.1442080963535318E-2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4 795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28-2F4B-4A7D-8F95-BCDCFFCFAD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données!$U$130:$AB$130</c:f>
              <c:numCache>
                <c:formatCode>#,##0</c:formatCode>
                <c:ptCount val="8"/>
                <c:pt idx="0">
                  <c:v>5086.2</c:v>
                </c:pt>
                <c:pt idx="1">
                  <c:v>4731.0999999999995</c:v>
                </c:pt>
                <c:pt idx="2">
                  <c:v>5342</c:v>
                </c:pt>
                <c:pt idx="3">
                  <c:v>5565</c:v>
                </c:pt>
                <c:pt idx="4">
                  <c:v>6070</c:v>
                </c:pt>
                <c:pt idx="5">
                  <c:v>6586.8000000000011</c:v>
                </c:pt>
                <c:pt idx="6">
                  <c:v>7193.7000000000007</c:v>
                </c:pt>
                <c:pt idx="7">
                  <c:v>6604.1999999999989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9-2F4B-4A7D-8F95-BCDCFFCFAD62}"/>
            </c:ext>
          </c:extLst>
        </c:ser>
        <c:ser>
          <c:idx val="2"/>
          <c:order val="5"/>
          <c:tx>
            <c:strRef>
              <c:f>données!$A$128</c:f>
              <c:strCache>
                <c:ptCount val="1"/>
                <c:pt idx="0">
                  <c:v>Netherland</c:v>
                </c:pt>
              </c:strCache>
            </c:strRef>
          </c:tx>
          <c:cat>
            <c:strRef>
              <c:f>données!$U$123:$AB$123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données!$U$128:$X$128</c:f>
              <c:numCache>
                <c:formatCode>#,##0</c:formatCode>
                <c:ptCount val="4"/>
                <c:pt idx="0">
                  <c:v>9542</c:v>
                </c:pt>
                <c:pt idx="2">
                  <c:v>9230</c:v>
                </c:pt>
                <c:pt idx="3">
                  <c:v>11271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A-2F4B-4A7D-8F95-BCDCFFCFA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68608"/>
        <c:axId val="311434560"/>
      </c:lineChart>
      <c:catAx>
        <c:axId val="312068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1434560"/>
        <c:crosses val="autoZero"/>
        <c:auto val="1"/>
        <c:lblAlgn val="ctr"/>
        <c:lblOffset val="700"/>
        <c:tickLblSkip val="1"/>
        <c:tickMarkSkip val="1"/>
        <c:noMultiLvlLbl val="0"/>
      </c:catAx>
      <c:valAx>
        <c:axId val="311434560"/>
        <c:scaling>
          <c:orientation val="minMax"/>
          <c:max val="1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3919418736541022E-2"/>
              <c:y val="3.24899742862091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068608"/>
        <c:crosses val="autoZero"/>
        <c:crossBetween val="between"/>
        <c:majorUnit val="5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0981210855949897E-2"/>
          <c:y val="0.94077834179357023"/>
          <c:w val="0.89228576594940245"/>
          <c:h val="5.922165820642977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hybrid ryegrass seed areas / RGH</a:t>
            </a:r>
          </a:p>
        </c:rich>
      </c:tx>
      <c:layout>
        <c:manualLayout>
          <c:xMode val="edge"/>
          <c:yMode val="edge"/>
          <c:x val="0.27395788470073806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05922327255951E-2"/>
          <c:y val="0.14312389276305157"/>
          <c:w val="0.87682304599095107"/>
          <c:h val="0.7377326565143823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données!$A$134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0"/>
                  <c:y val="-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9A-4CC0-8E45-3E5AF89823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données!$U$133:$AB$133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données!$U$134:$AA$134</c:f>
              <c:numCache>
                <c:formatCode>#,##0</c:formatCode>
                <c:ptCount val="7"/>
                <c:pt idx="0">
                  <c:v>372</c:v>
                </c:pt>
                <c:pt idx="1">
                  <c:v>537</c:v>
                </c:pt>
                <c:pt idx="2">
                  <c:v>482</c:v>
                </c:pt>
                <c:pt idx="3">
                  <c:v>481</c:v>
                </c:pt>
                <c:pt idx="4">
                  <c:v>741</c:v>
                </c:pt>
                <c:pt idx="5">
                  <c:v>696</c:v>
                </c:pt>
                <c:pt idx="6">
                  <c:v>557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9A-4CC0-8E45-3E5AF898233A}"/>
            </c:ext>
          </c:extLst>
        </c:ser>
        <c:ser>
          <c:idx val="1"/>
          <c:order val="1"/>
          <c:tx>
            <c:strRef>
              <c:f>données!$A$135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9A-4CC0-8E45-3E5AF89823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données!$U$133:$AB$133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données!$U$135:$AA$135</c:f>
              <c:numCache>
                <c:formatCode>#,##0</c:formatCode>
                <c:ptCount val="7"/>
                <c:pt idx="0">
                  <c:v>302</c:v>
                </c:pt>
                <c:pt idx="1">
                  <c:v>352</c:v>
                </c:pt>
                <c:pt idx="2">
                  <c:v>424</c:v>
                </c:pt>
                <c:pt idx="3">
                  <c:v>484</c:v>
                </c:pt>
                <c:pt idx="4">
                  <c:v>741</c:v>
                </c:pt>
                <c:pt idx="5">
                  <c:v>758</c:v>
                </c:pt>
                <c:pt idx="6">
                  <c:v>528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59A-4CC0-8E45-3E5AF898233A}"/>
            </c:ext>
          </c:extLst>
        </c:ser>
        <c:ser>
          <c:idx val="2"/>
          <c:order val="2"/>
          <c:tx>
            <c:strRef>
              <c:f>données!$A$136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9A-4CC0-8E45-3E5AF89823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9A-4CC0-8E45-3E5AF89823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59A-4CC0-8E45-3E5AF89823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59A-4CC0-8E45-3E5AF89823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9A-4CC0-8E45-3E5AF89823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59A-4CC0-8E45-3E5AF898233A}"/>
                </c:ext>
              </c:extLst>
            </c:dLbl>
            <c:dLbl>
              <c:idx val="7"/>
              <c:layout>
                <c:manualLayout>
                  <c:x val="1.3888888888888889E-3"/>
                  <c:y val="-1.572104048176765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1 543</a:t>
                    </a:r>
                  </a:p>
                </c:rich>
              </c:tx>
              <c:spPr>
                <a:noFill/>
                <a:ln w="25400">
                  <a:noFill/>
                </a:ln>
                <a:effectLst>
                  <a:glow rad="63500">
                    <a:schemeClr val="accent4">
                      <a:satMod val="175000"/>
                      <a:alpha val="40000"/>
                    </a:schemeClr>
                  </a:glow>
                </a:effectLst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A-859A-4CC0-8E45-3E5AF898233A}"/>
                </c:ext>
              </c:extLst>
            </c:dLbl>
            <c:spPr>
              <a:noFill/>
              <a:ln w="25400">
                <a:noFill/>
              </a:ln>
              <a:effectLst>
                <a:glow rad="63500">
                  <a:schemeClr val="accent4">
                    <a:satMod val="175000"/>
                    <a:alpha val="40000"/>
                  </a:schemeClr>
                </a:glow>
              </a:effectLst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données!$U$133:$AB$133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données!$U$136:$AB$136</c:f>
              <c:numCache>
                <c:formatCode>#,##0</c:formatCode>
                <c:ptCount val="8"/>
                <c:pt idx="0">
                  <c:v>1131</c:v>
                </c:pt>
                <c:pt idx="1">
                  <c:v>1212</c:v>
                </c:pt>
                <c:pt idx="2">
                  <c:v>1259</c:v>
                </c:pt>
                <c:pt idx="3">
                  <c:v>1486</c:v>
                </c:pt>
                <c:pt idx="4">
                  <c:v>1569</c:v>
                </c:pt>
                <c:pt idx="5">
                  <c:v>1721</c:v>
                </c:pt>
                <c:pt idx="6">
                  <c:v>1616</c:v>
                </c:pt>
                <c:pt idx="7">
                  <c:v>1118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859A-4CC0-8E45-3E5AF898233A}"/>
            </c:ext>
          </c:extLst>
        </c:ser>
        <c:ser>
          <c:idx val="3"/>
          <c:order val="3"/>
          <c:tx>
            <c:strRef>
              <c:f>données!$A$137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données!$U$133:$AB$133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données!$U$137:$Z$137</c:f>
              <c:numCache>
                <c:formatCode>General</c:formatCode>
                <c:ptCount val="6"/>
                <c:pt idx="0">
                  <c:v>263</c:v>
                </c:pt>
                <c:pt idx="2">
                  <c:v>290</c:v>
                </c:pt>
                <c:pt idx="3">
                  <c:v>322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859A-4CC0-8E45-3E5AF898233A}"/>
            </c:ext>
          </c:extLst>
        </c:ser>
        <c:ser>
          <c:idx val="4"/>
          <c:order val="4"/>
          <c:tx>
            <c:strRef>
              <c:f>données!$A$139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59A-4CC0-8E45-3E5AF898233A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59A-4CC0-8E45-3E5AF898233A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59A-4CC0-8E45-3E5AF898233A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59A-4CC0-8E45-3E5AF898233A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59A-4CC0-8E45-3E5AF898233A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9A-4CC0-8E45-3E5AF898233A}"/>
                </c:ext>
              </c:extLst>
            </c:dLbl>
            <c:dLbl>
              <c:idx val="7"/>
              <c:layout>
                <c:manualLayout>
                  <c:x val="-8.315041724814929E-3"/>
                  <c:y val="2.0560866297833349E-2"/>
                </c:manualLayout>
              </c:layout>
              <c:tx>
                <c:rich>
                  <a:bodyPr/>
                  <a:lstStyle/>
                  <a:p>
                    <a:pPr>
                      <a:defRPr sz="12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637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3-859A-4CC0-8E45-3E5AF898233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données!$U$133:$AB$133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données!$U$139:$AB$139</c:f>
              <c:numCache>
                <c:formatCode>#,##0</c:formatCode>
                <c:ptCount val="8"/>
                <c:pt idx="0">
                  <c:v>735</c:v>
                </c:pt>
                <c:pt idx="1">
                  <c:v>537.5</c:v>
                </c:pt>
                <c:pt idx="2">
                  <c:v>578.40000000000009</c:v>
                </c:pt>
                <c:pt idx="3">
                  <c:v>736</c:v>
                </c:pt>
                <c:pt idx="4">
                  <c:v>863</c:v>
                </c:pt>
                <c:pt idx="5">
                  <c:v>1102.3</c:v>
                </c:pt>
                <c:pt idx="6">
                  <c:v>946.59999999999991</c:v>
                </c:pt>
                <c:pt idx="7">
                  <c:v>530.19999999999993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859A-4CC0-8E45-3E5AF898233A}"/>
            </c:ext>
          </c:extLst>
        </c:ser>
        <c:ser>
          <c:idx val="5"/>
          <c:order val="5"/>
          <c:tx>
            <c:strRef>
              <c:f>données!$A$138</c:f>
              <c:strCache>
                <c:ptCount val="1"/>
                <c:pt idx="0">
                  <c:v>Sweden</c:v>
                </c:pt>
              </c:strCache>
            </c:strRef>
          </c:tx>
          <c:cat>
            <c:strRef>
              <c:f>données!$U$133:$AB$133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données!$U$138:$AA$138</c:f>
              <c:numCache>
                <c:formatCode>General</c:formatCode>
                <c:ptCount val="7"/>
                <c:pt idx="0">
                  <c:v>0</c:v>
                </c:pt>
                <c:pt idx="1">
                  <c:v>32.9</c:v>
                </c:pt>
                <c:pt idx="2">
                  <c:v>0</c:v>
                </c:pt>
                <c:pt idx="3">
                  <c:v>25</c:v>
                </c:pt>
                <c:pt idx="4">
                  <c:v>65</c:v>
                </c:pt>
                <c:pt idx="5">
                  <c:v>37</c:v>
                </c:pt>
                <c:pt idx="6">
                  <c:v>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859A-4CC0-8E45-3E5AF8982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052736"/>
        <c:axId val="312207040"/>
      </c:lineChart>
      <c:catAx>
        <c:axId val="312052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207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207040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8.3519361749927398E-3"/>
              <c:y val="0.5224484502888915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052736"/>
        <c:crosses val="autoZero"/>
        <c:crossBetween val="between"/>
        <c:maj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845511482254697E-2"/>
          <c:y val="0.92893418779505355"/>
          <c:w val="0.91537202943577767"/>
          <c:h val="5.750669491186699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winter wheat areas / blé tendre hiver</a:t>
            </a:r>
          </a:p>
        </c:rich>
      </c:tx>
      <c:layout>
        <c:manualLayout>
          <c:xMode val="edge"/>
          <c:yMode val="edge"/>
          <c:x val="0.24427602799650042"/>
          <c:y val="1.6366681863082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15083976265973"/>
          <c:y val="0.1311996612123924"/>
          <c:w val="0.77394914722761965"/>
          <c:h val="0.7328543442630383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données!$A$2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984807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F4-485A-A177-20B5AC47FE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données!$U$2:$AB$2</c:f>
              <c:numCache>
                <c:formatCode>#,##0\ _€</c:formatCode>
                <c:ptCount val="8"/>
                <c:pt idx="0">
                  <c:v>4970</c:v>
                </c:pt>
                <c:pt idx="1">
                  <c:v>5151</c:v>
                </c:pt>
                <c:pt idx="2">
                  <c:v>5150</c:v>
                </c:pt>
                <c:pt idx="3">
                  <c:v>4956</c:v>
                </c:pt>
                <c:pt idx="4">
                  <c:v>4146</c:v>
                </c:pt>
                <c:pt idx="5">
                  <c:v>4118</c:v>
                </c:pt>
                <c:pt idx="6">
                  <c:v>3951</c:v>
                </c:pt>
                <c:pt idx="7">
                  <c:v>3766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FF4-485A-A177-20B5AC47FE91}"/>
            </c:ext>
          </c:extLst>
        </c:ser>
        <c:ser>
          <c:idx val="1"/>
          <c:order val="1"/>
          <c:tx>
            <c:strRef>
              <c:f>données!$A$3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08080"/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  <a:prstDash val="solid"/>
              </a:ln>
            </c:spPr>
          </c:marker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données!$U$3:$AA$3</c:f>
              <c:numCache>
                <c:formatCode>#,##0\ _€</c:formatCode>
                <c:ptCount val="7"/>
                <c:pt idx="0">
                  <c:v>50423</c:v>
                </c:pt>
                <c:pt idx="1">
                  <c:v>51587</c:v>
                </c:pt>
                <c:pt idx="2">
                  <c:v>51370</c:v>
                </c:pt>
                <c:pt idx="3">
                  <c:v>56819</c:v>
                </c:pt>
                <c:pt idx="4">
                  <c:v>47758</c:v>
                </c:pt>
                <c:pt idx="5">
                  <c:v>42383</c:v>
                </c:pt>
                <c:pt idx="6">
                  <c:v>42829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FF4-485A-A177-20B5AC47FE91}"/>
            </c:ext>
          </c:extLst>
        </c:ser>
        <c:ser>
          <c:idx val="2"/>
          <c:order val="2"/>
          <c:tx>
            <c:strRef>
              <c:f>données!$A$4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données!$U$4:$AA$4</c:f>
              <c:numCache>
                <c:formatCode>#,##0\ _€</c:formatCode>
                <c:ptCount val="7"/>
                <c:pt idx="0">
                  <c:v>17545</c:v>
                </c:pt>
                <c:pt idx="1">
                  <c:v>17783</c:v>
                </c:pt>
                <c:pt idx="2">
                  <c:v>13391</c:v>
                </c:pt>
                <c:pt idx="3">
                  <c:v>18006</c:v>
                </c:pt>
                <c:pt idx="4">
                  <c:v>17836</c:v>
                </c:pt>
                <c:pt idx="5">
                  <c:v>16214</c:v>
                </c:pt>
                <c:pt idx="6">
                  <c:v>16379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FF4-485A-A177-20B5AC47FE91}"/>
            </c:ext>
          </c:extLst>
        </c:ser>
        <c:ser>
          <c:idx val="3"/>
          <c:order val="3"/>
          <c:tx>
            <c:strRef>
              <c:f>données!$A$5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données!$U$5:$AB$5</c:f>
              <c:numCache>
                <c:formatCode>#,##0\ _€</c:formatCode>
                <c:ptCount val="8"/>
                <c:pt idx="0">
                  <c:v>89845</c:v>
                </c:pt>
                <c:pt idx="1">
                  <c:v>82292</c:v>
                </c:pt>
                <c:pt idx="2">
                  <c:v>77566</c:v>
                </c:pt>
                <c:pt idx="3">
                  <c:v>74352</c:v>
                </c:pt>
                <c:pt idx="4">
                  <c:v>67501</c:v>
                </c:pt>
                <c:pt idx="5">
                  <c:v>67797</c:v>
                </c:pt>
                <c:pt idx="6">
                  <c:v>66727</c:v>
                </c:pt>
                <c:pt idx="7">
                  <c:v>66446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FF4-485A-A177-20B5AC47FE91}"/>
            </c:ext>
          </c:extLst>
        </c:ser>
        <c:ser>
          <c:idx val="4"/>
          <c:order val="4"/>
          <c:tx>
            <c:strRef>
              <c:f>données!$A$6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0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Pt>
            <c:idx val="0"/>
            <c:bubble3D val="0"/>
            <c:spPr>
              <a:ln w="28575"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2FF4-485A-A177-20B5AC47FE91}"/>
              </c:ext>
            </c:extLst>
          </c:dPt>
          <c:dLbls>
            <c:dLbl>
              <c:idx val="5"/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FF4-485A-A177-20B5AC47FE9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données!$U$6:$AA$6</c:f>
              <c:numCache>
                <c:formatCode>#,##0\ _€</c:formatCode>
                <c:ptCount val="7"/>
                <c:pt idx="0">
                  <c:v>23374</c:v>
                </c:pt>
                <c:pt idx="1">
                  <c:v>20942</c:v>
                </c:pt>
                <c:pt idx="2">
                  <c:v>21868</c:v>
                </c:pt>
                <c:pt idx="3">
                  <c:v>24831</c:v>
                </c:pt>
                <c:pt idx="4">
                  <c:v>23842.95</c:v>
                </c:pt>
                <c:pt idx="5">
                  <c:v>24219.33</c:v>
                </c:pt>
                <c:pt idx="6">
                  <c:v>22809.09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FF4-485A-A177-20B5AC47FE91}"/>
            </c:ext>
          </c:extLst>
        </c:ser>
        <c:ser>
          <c:idx val="6"/>
          <c:order val="5"/>
          <c:tx>
            <c:strRef>
              <c:f>données!$A$7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666699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données!$U$7:$AA$7</c:f>
              <c:numCache>
                <c:formatCode>#,##0\ _€</c:formatCode>
                <c:ptCount val="7"/>
                <c:pt idx="0">
                  <c:v>14106</c:v>
                </c:pt>
                <c:pt idx="1">
                  <c:v>12883.4</c:v>
                </c:pt>
                <c:pt idx="2">
                  <c:v>12003</c:v>
                </c:pt>
                <c:pt idx="3">
                  <c:v>14216</c:v>
                </c:pt>
                <c:pt idx="4">
                  <c:v>14278</c:v>
                </c:pt>
                <c:pt idx="5">
                  <c:v>13801</c:v>
                </c:pt>
                <c:pt idx="6">
                  <c:v>13430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FF4-485A-A177-20B5AC47FE91}"/>
            </c:ext>
          </c:extLst>
        </c:ser>
        <c:ser>
          <c:idx val="8"/>
          <c:order val="6"/>
          <c:tx>
            <c:strRef>
              <c:f>données!$A$8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FF4-485A-A177-20B5AC47FE9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FF4-485A-A177-20B5AC47FE9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FF4-485A-A177-20B5AC47FE9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FF4-485A-A177-20B5AC47FE9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FF4-485A-A177-20B5AC47FE91}"/>
                </c:ext>
              </c:extLst>
            </c:dLbl>
            <c:dLbl>
              <c:idx val="7"/>
              <c:layout>
                <c:manualLayout>
                  <c:x val="-1.3888888888888889E-3"/>
                  <c:y val="-6.7375887779004256E-3"/>
                </c:manualLayout>
              </c:layout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41 985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17-2FF4-485A-A177-20B5AC47FE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données!$U$8:$AB$8</c:f>
              <c:numCache>
                <c:formatCode>#,##0\ _€</c:formatCode>
                <c:ptCount val="8"/>
                <c:pt idx="0">
                  <c:v>33270</c:v>
                </c:pt>
                <c:pt idx="1">
                  <c:v>32753.649999999998</c:v>
                </c:pt>
                <c:pt idx="2">
                  <c:v>34251.630000000041</c:v>
                </c:pt>
                <c:pt idx="3">
                  <c:v>33574</c:v>
                </c:pt>
                <c:pt idx="4">
                  <c:v>27701</c:v>
                </c:pt>
                <c:pt idx="5">
                  <c:v>34782.590000000011</c:v>
                </c:pt>
                <c:pt idx="6">
                  <c:v>34080.749999999985</c:v>
                </c:pt>
                <c:pt idx="7">
                  <c:v>28214.55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2FF4-485A-A177-20B5AC47FE91}"/>
            </c:ext>
          </c:extLst>
        </c:ser>
        <c:ser>
          <c:idx val="5"/>
          <c:order val="7"/>
          <c:tx>
            <c:strRef>
              <c:f>données!$A$9</c:f>
              <c:strCache>
                <c:ptCount val="1"/>
                <c:pt idx="0">
                  <c:v>Finland</c:v>
                </c:pt>
              </c:strCache>
            </c:strRef>
          </c:tx>
          <c:cat>
            <c:strRef>
              <c:f>données!$U$1:$AB$1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données!$U$9:$AB$9</c:f>
              <c:numCache>
                <c:formatCode>#,##0\ _€</c:formatCode>
                <c:ptCount val="8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2FF4-485A-A177-20B5AC47F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095488"/>
        <c:axId val="306547520"/>
      </c:lineChart>
      <c:catAx>
        <c:axId val="308095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6547520"/>
        <c:crossesAt val="0"/>
        <c:auto val="1"/>
        <c:lblAlgn val="ctr"/>
        <c:lblOffset val="300"/>
        <c:tickMarkSkip val="1"/>
        <c:noMultiLvlLbl val="0"/>
      </c:catAx>
      <c:valAx>
        <c:axId val="306547520"/>
        <c:scaling>
          <c:orientation val="minMax"/>
          <c:max val="105000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5E9EFF"/>
                  </a:gs>
                  <a:gs pos="100000">
                    <a:srgbClr val="C4D6EB"/>
                  </a:gs>
                  <a:gs pos="100000">
                    <a:srgbClr val="FFEBFA"/>
                  </a:gs>
                </a:gsLst>
                <a:lin ang="54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20472440945E-2"/>
              <c:y val="6.959221849169260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\ _€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095488"/>
        <c:crossesAt val="1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535591099571662"/>
          <c:w val="1"/>
          <c:h val="3.2893652585895619E-2"/>
        </c:manualLayout>
      </c:layout>
      <c:overlay val="0"/>
      <c:spPr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Italian ryegrass seed areas / RGI</a:t>
            </a:r>
          </a:p>
        </c:rich>
      </c:tx>
      <c:layout>
        <c:manualLayout>
          <c:xMode val="edge"/>
          <c:yMode val="edge"/>
          <c:x val="0.28333305935922937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19856213625472E-2"/>
          <c:y val="0.11453600975934346"/>
          <c:w val="0.90605427974947805"/>
          <c:h val="0.73148763484461632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données!$A$143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-5.5677657925895449E-3"/>
                  <c:y val="1.58051103664279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données!$U$143:$AB$143</c:f>
              <c:numCache>
                <c:formatCode>#,##0</c:formatCode>
                <c:ptCount val="8"/>
                <c:pt idx="0">
                  <c:v>1796</c:v>
                </c:pt>
                <c:pt idx="1">
                  <c:v>2064</c:v>
                </c:pt>
                <c:pt idx="2">
                  <c:v>2445</c:v>
                </c:pt>
                <c:pt idx="3">
                  <c:v>2656</c:v>
                </c:pt>
                <c:pt idx="4">
                  <c:v>3102</c:v>
                </c:pt>
                <c:pt idx="5">
                  <c:v>3729</c:v>
                </c:pt>
                <c:pt idx="6">
                  <c:v>2870</c:v>
                </c:pt>
                <c:pt idx="7">
                  <c:v>1726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9C-4A2F-B008-C353B77C042B}"/>
            </c:ext>
          </c:extLst>
        </c:ser>
        <c:ser>
          <c:idx val="1"/>
          <c:order val="1"/>
          <c:tx>
            <c:strRef>
              <c:f>données!$A$144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1.0207452702382844E-16"/>
                  <c:y val="-9.0314916379587908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données!$U$144:$AA$144</c:f>
              <c:numCache>
                <c:formatCode>#,##0</c:formatCode>
                <c:ptCount val="7"/>
                <c:pt idx="0">
                  <c:v>12395</c:v>
                </c:pt>
                <c:pt idx="1">
                  <c:v>11857</c:v>
                </c:pt>
                <c:pt idx="2">
                  <c:v>12326</c:v>
                </c:pt>
                <c:pt idx="3">
                  <c:v>14669</c:v>
                </c:pt>
                <c:pt idx="4">
                  <c:v>16341</c:v>
                </c:pt>
                <c:pt idx="5">
                  <c:v>16682</c:v>
                </c:pt>
                <c:pt idx="6">
                  <c:v>12644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9C-4A2F-B008-C353B77C042B}"/>
            </c:ext>
          </c:extLst>
        </c:ser>
        <c:ser>
          <c:idx val="2"/>
          <c:order val="2"/>
          <c:tx>
            <c:strRef>
              <c:f>données!$A$145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données!$U$145:$AA$145</c:f>
              <c:numCache>
                <c:formatCode>#,##0</c:formatCode>
                <c:ptCount val="7"/>
                <c:pt idx="0">
                  <c:v>818</c:v>
                </c:pt>
                <c:pt idx="1">
                  <c:v>1740</c:v>
                </c:pt>
                <c:pt idx="2">
                  <c:v>1337</c:v>
                </c:pt>
                <c:pt idx="3">
                  <c:v>1867</c:v>
                </c:pt>
                <c:pt idx="4">
                  <c:v>2171</c:v>
                </c:pt>
                <c:pt idx="5">
                  <c:v>2502</c:v>
                </c:pt>
                <c:pt idx="6">
                  <c:v>2192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B9C-4A2F-B008-C353B77C042B}"/>
            </c:ext>
          </c:extLst>
        </c:ser>
        <c:ser>
          <c:idx val="3"/>
          <c:order val="3"/>
          <c:tx>
            <c:strRef>
              <c:f>données!$A$146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1.3919414481473862E-3"/>
                  <c:y val="2.032085618540736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données!$U$146:$AB$146</c:f>
              <c:numCache>
                <c:formatCode>#,##0</c:formatCode>
                <c:ptCount val="8"/>
                <c:pt idx="0">
                  <c:v>2611</c:v>
                </c:pt>
                <c:pt idx="1">
                  <c:v>2984</c:v>
                </c:pt>
                <c:pt idx="2">
                  <c:v>2948</c:v>
                </c:pt>
                <c:pt idx="3">
                  <c:v>3393</c:v>
                </c:pt>
                <c:pt idx="4">
                  <c:v>3866</c:v>
                </c:pt>
                <c:pt idx="5">
                  <c:v>4462</c:v>
                </c:pt>
                <c:pt idx="6">
                  <c:v>3614</c:v>
                </c:pt>
                <c:pt idx="7">
                  <c:v>2929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B9C-4A2F-B008-C353B77C042B}"/>
            </c:ext>
          </c:extLst>
        </c:ser>
        <c:ser>
          <c:idx val="4"/>
          <c:order val="4"/>
          <c:tx>
            <c:strRef>
              <c:f>données!$A$147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dLbls>
            <c:dLbl>
              <c:idx val="5"/>
              <c:layout>
                <c:manualLayout>
                  <c:x val="0"/>
                  <c:y val="-1.80629832759175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808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B9C-4A2F-B008-C353B77C042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données!$U$147:$AA$147</c:f>
              <c:numCache>
                <c:formatCode>0</c:formatCode>
                <c:ptCount val="7"/>
                <c:pt idx="0">
                  <c:v>3648</c:v>
                </c:pt>
                <c:pt idx="1">
                  <c:v>3193</c:v>
                </c:pt>
                <c:pt idx="2">
                  <c:v>4620</c:v>
                </c:pt>
                <c:pt idx="3">
                  <c:v>5353</c:v>
                </c:pt>
                <c:pt idx="4">
                  <c:v>6712.54</c:v>
                </c:pt>
                <c:pt idx="5">
                  <c:v>4935.32</c:v>
                </c:pt>
                <c:pt idx="6">
                  <c:v>4794.4399999999996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B9C-4A2F-B008-C353B77C042B}"/>
            </c:ext>
          </c:extLst>
        </c:ser>
        <c:ser>
          <c:idx val="5"/>
          <c:order val="5"/>
          <c:tx>
            <c:strRef>
              <c:f>données!$A$148</c:f>
              <c:strCache>
                <c:ptCount val="1"/>
                <c:pt idx="0">
                  <c:v>Netherland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données!$U$148:$Y$148</c:f>
              <c:numCache>
                <c:formatCode>#,##0</c:formatCode>
                <c:ptCount val="5"/>
                <c:pt idx="0">
                  <c:v>803</c:v>
                </c:pt>
                <c:pt idx="2">
                  <c:v>1053</c:v>
                </c:pt>
                <c:pt idx="3">
                  <c:v>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B9C-4A2F-B008-C353B77C0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695296"/>
        <c:axId val="312211648"/>
      </c:lineChart>
      <c:catAx>
        <c:axId val="3126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211648"/>
        <c:crosses val="autoZero"/>
        <c:auto val="1"/>
        <c:lblAlgn val="ctr"/>
        <c:lblOffset val="700"/>
        <c:tickLblSkip val="1"/>
        <c:tickMarkSkip val="1"/>
        <c:noMultiLvlLbl val="0"/>
      </c:catAx>
      <c:valAx>
        <c:axId val="312211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5311316774338489E-2"/>
              <c:y val="5.73267427865932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695296"/>
        <c:crosses val="autoZero"/>
        <c:crossBetween val="between"/>
        <c:majorUnit val="4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937369519832981E-2"/>
          <c:y val="0.93231792726416807"/>
          <c:w val="0.91336116910229648"/>
          <c:h val="5.7529610829103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ESGG : italian ryegrass seed area (without Germany)</a:t>
            </a:r>
          </a:p>
        </c:rich>
      </c:tx>
      <c:layout>
        <c:manualLayout>
          <c:xMode val="edge"/>
          <c:yMode val="edge"/>
          <c:x val="0.2549930264993026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874999999999994E-2"/>
          <c:y val="8.6003372681281623E-2"/>
          <c:w val="0.91145833333333337"/>
          <c:h val="0.7908937605396290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données!$A$143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83-4515-81F4-7AE0F709647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83-4515-81F4-7AE0F709647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83-4515-81F4-7AE0F709647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83-4515-81F4-7AE0F7096477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83-4515-81F4-7AE0F7096477}"/>
                </c:ext>
              </c:extLst>
            </c:dLbl>
            <c:dLbl>
              <c:idx val="5"/>
              <c:layout>
                <c:manualLayout>
                  <c:x val="-1.0207452702382844E-16"/>
                  <c:y val="-4.515745818979395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83-4515-81F4-7AE0F709647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483-4515-81F4-7AE0F70964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8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1 856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7483-4515-81F4-7AE0F70964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données!$U$143:$AB$143</c:f>
              <c:numCache>
                <c:formatCode>#,##0</c:formatCode>
                <c:ptCount val="8"/>
                <c:pt idx="0">
                  <c:v>1796</c:v>
                </c:pt>
                <c:pt idx="1">
                  <c:v>2064</c:v>
                </c:pt>
                <c:pt idx="2">
                  <c:v>2445</c:v>
                </c:pt>
                <c:pt idx="3">
                  <c:v>2656</c:v>
                </c:pt>
                <c:pt idx="4">
                  <c:v>3102</c:v>
                </c:pt>
                <c:pt idx="5">
                  <c:v>3729</c:v>
                </c:pt>
                <c:pt idx="6">
                  <c:v>2870</c:v>
                </c:pt>
                <c:pt idx="7">
                  <c:v>1726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7483-4515-81F4-7AE0F7096477}"/>
            </c:ext>
          </c:extLst>
        </c:ser>
        <c:ser>
          <c:idx val="3"/>
          <c:order val="1"/>
          <c:tx>
            <c:strRef>
              <c:f>données!$A$145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83-4515-81F4-7AE0F7096477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483-4515-81F4-7AE0F7096477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483-4515-81F4-7AE0F7096477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483-4515-81F4-7AE0F7096477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483-4515-81F4-7AE0F7096477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483-4515-81F4-7AE0F709647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1" i="0" u="none" strike="noStrike" baseline="0">
                        <a:solidFill>
                          <a:srgbClr val="00008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/>
                      <a:t>1 102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F-7483-4515-81F4-7AE0F709647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données!$U$145:$AA$145</c:f>
              <c:numCache>
                <c:formatCode>#,##0</c:formatCode>
                <c:ptCount val="7"/>
                <c:pt idx="0">
                  <c:v>818</c:v>
                </c:pt>
                <c:pt idx="1">
                  <c:v>1740</c:v>
                </c:pt>
                <c:pt idx="2">
                  <c:v>1337</c:v>
                </c:pt>
                <c:pt idx="3">
                  <c:v>1867</c:v>
                </c:pt>
                <c:pt idx="4">
                  <c:v>2171</c:v>
                </c:pt>
                <c:pt idx="5">
                  <c:v>2502</c:v>
                </c:pt>
                <c:pt idx="6">
                  <c:v>2192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7483-4515-81F4-7AE0F7096477}"/>
            </c:ext>
          </c:extLst>
        </c:ser>
        <c:ser>
          <c:idx val="4"/>
          <c:order val="2"/>
          <c:tx>
            <c:strRef>
              <c:f>données!$A$146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483-4515-81F4-7AE0F70964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données!$U$146:$AB$146</c:f>
              <c:numCache>
                <c:formatCode>#,##0</c:formatCode>
                <c:ptCount val="8"/>
                <c:pt idx="0">
                  <c:v>2611</c:v>
                </c:pt>
                <c:pt idx="1">
                  <c:v>2984</c:v>
                </c:pt>
                <c:pt idx="2">
                  <c:v>2948</c:v>
                </c:pt>
                <c:pt idx="3">
                  <c:v>3393</c:v>
                </c:pt>
                <c:pt idx="4">
                  <c:v>3866</c:v>
                </c:pt>
                <c:pt idx="5">
                  <c:v>4462</c:v>
                </c:pt>
                <c:pt idx="6">
                  <c:v>3614</c:v>
                </c:pt>
                <c:pt idx="7">
                  <c:v>2929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7483-4515-81F4-7AE0F7096477}"/>
            </c:ext>
          </c:extLst>
        </c:ser>
        <c:ser>
          <c:idx val="6"/>
          <c:order val="3"/>
          <c:tx>
            <c:strRef>
              <c:f>données!$A$147</c:f>
              <c:strCache>
                <c:ptCount val="1"/>
                <c:pt idx="0">
                  <c:v>Italy</c:v>
                </c:pt>
              </c:strCache>
            </c:strRef>
          </c:tx>
          <c:spPr>
            <a:ln w="28575">
              <a:solidFill>
                <a:schemeClr val="accent2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483-4515-81F4-7AE0F70964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données!$U$147:$AA$147</c:f>
              <c:numCache>
                <c:formatCode>0</c:formatCode>
                <c:ptCount val="7"/>
                <c:pt idx="0">
                  <c:v>3648</c:v>
                </c:pt>
                <c:pt idx="1">
                  <c:v>3193</c:v>
                </c:pt>
                <c:pt idx="2">
                  <c:v>4620</c:v>
                </c:pt>
                <c:pt idx="3">
                  <c:v>5353</c:v>
                </c:pt>
                <c:pt idx="4">
                  <c:v>6712.54</c:v>
                </c:pt>
                <c:pt idx="5">
                  <c:v>4935.32</c:v>
                </c:pt>
                <c:pt idx="6">
                  <c:v>4794.4399999999996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7483-4515-81F4-7AE0F7096477}"/>
            </c:ext>
          </c:extLst>
        </c:ser>
        <c:ser>
          <c:idx val="1"/>
          <c:order val="4"/>
          <c:tx>
            <c:strRef>
              <c:f>données!$A$148</c:f>
              <c:strCache>
                <c:ptCount val="1"/>
                <c:pt idx="0">
                  <c:v>Netherland</c:v>
                </c:pt>
              </c:strCache>
            </c:strRef>
          </c:tx>
          <c:marker>
            <c:symbol val="square"/>
            <c:size val="6"/>
          </c:marker>
          <c:cat>
            <c:strRef>
              <c:f>données!$U$142:$AB$142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données!$U$148:$Y$148</c:f>
              <c:numCache>
                <c:formatCode>#,##0</c:formatCode>
                <c:ptCount val="5"/>
                <c:pt idx="0">
                  <c:v>803</c:v>
                </c:pt>
                <c:pt idx="2">
                  <c:v>1053</c:v>
                </c:pt>
                <c:pt idx="3">
                  <c:v>703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7483-4515-81F4-7AE0F7096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032704"/>
        <c:axId val="312788096"/>
      </c:lineChart>
      <c:catAx>
        <c:axId val="31303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788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78809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032704"/>
        <c:crosses val="autoZero"/>
        <c:crossBetween val="between"/>
        <c:majorUnit val="2000"/>
        <c:minorUnit val="1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772400311885701"/>
          <c:y val="0.92826922905823217"/>
          <c:w val="0.84731284112498495"/>
          <c:h val="4.9696872636683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red clover seed areas / trèfle violet</a:t>
            </a:r>
          </a:p>
        </c:rich>
      </c:tx>
      <c:layout>
        <c:manualLayout>
          <c:xMode val="edge"/>
          <c:yMode val="edge"/>
          <c:x val="0.2687503706388165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032624477104041E-2"/>
          <c:y val="0.12182741116751269"/>
          <c:w val="0.8890028624673072"/>
          <c:h val="0.7226571493951554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données!$A$153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0"/>
                  <c:y val="1.580511036642796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données!$U$153:$AA$153</c:f>
              <c:numCache>
                <c:formatCode>#,##0</c:formatCode>
                <c:ptCount val="7"/>
                <c:pt idx="0">
                  <c:v>2888</c:v>
                </c:pt>
                <c:pt idx="1">
                  <c:v>3209</c:v>
                </c:pt>
                <c:pt idx="2">
                  <c:v>3122</c:v>
                </c:pt>
                <c:pt idx="3">
                  <c:v>2668</c:v>
                </c:pt>
                <c:pt idx="4">
                  <c:v>2759</c:v>
                </c:pt>
                <c:pt idx="5">
                  <c:v>3044</c:v>
                </c:pt>
                <c:pt idx="6">
                  <c:v>2331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C2-40C2-B527-C0252114384D}"/>
            </c:ext>
          </c:extLst>
        </c:ser>
        <c:ser>
          <c:idx val="1"/>
          <c:order val="1"/>
          <c:tx>
            <c:strRef>
              <c:f>données!$A$154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2-40C2-B527-C0252114384D}"/>
                </c:ext>
              </c:extLst>
            </c:dLbl>
            <c:dLbl>
              <c:idx val="4"/>
              <c:layout>
                <c:manualLayout>
                  <c:x val="-0.54571882406997407"/>
                  <c:y val="9.031580694559537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données!$U$154:$AA$154</c:f>
              <c:numCache>
                <c:formatCode>#,##0</c:formatCode>
                <c:ptCount val="7"/>
                <c:pt idx="0">
                  <c:v>139</c:v>
                </c:pt>
                <c:pt idx="1">
                  <c:v>59</c:v>
                </c:pt>
                <c:pt idx="2">
                  <c:v>247</c:v>
                </c:pt>
                <c:pt idx="3">
                  <c:v>114</c:v>
                </c:pt>
                <c:pt idx="4">
                  <c:v>475</c:v>
                </c:pt>
                <c:pt idx="5">
                  <c:v>392</c:v>
                </c:pt>
                <c:pt idx="6">
                  <c:v>448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AC2-40C2-B527-C0252114384D}"/>
            </c:ext>
          </c:extLst>
        </c:ser>
        <c:ser>
          <c:idx val="2"/>
          <c:order val="2"/>
          <c:tx>
            <c:strRef>
              <c:f>données!$A$155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AC2-40C2-B527-C0252114384D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2-40C2-B527-C0252114384D}"/>
                </c:ext>
              </c:extLst>
            </c:dLbl>
            <c:dLbl>
              <c:idx val="5"/>
              <c:layout>
                <c:manualLayout>
                  <c:x val="0"/>
                  <c:y val="-1.12893645474484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2-40C2-B527-C0252114384D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2-40C2-B527-C0252114384D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8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données!$U$155:$AB$155</c:f>
              <c:numCache>
                <c:formatCode>#,##0</c:formatCode>
                <c:ptCount val="8"/>
                <c:pt idx="0">
                  <c:v>7833</c:v>
                </c:pt>
                <c:pt idx="1">
                  <c:v>9968</c:v>
                </c:pt>
                <c:pt idx="2">
                  <c:v>10203</c:v>
                </c:pt>
                <c:pt idx="3">
                  <c:v>7605</c:v>
                </c:pt>
                <c:pt idx="4">
                  <c:v>6630</c:v>
                </c:pt>
                <c:pt idx="5">
                  <c:v>6155</c:v>
                </c:pt>
                <c:pt idx="6">
                  <c:v>5273</c:v>
                </c:pt>
                <c:pt idx="7">
                  <c:v>3225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9AC2-40C2-B527-C0252114384D}"/>
            </c:ext>
          </c:extLst>
        </c:ser>
        <c:ser>
          <c:idx val="3"/>
          <c:order val="3"/>
          <c:tx>
            <c:strRef>
              <c:f>données!$A$156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8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33C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AC2-40C2-B527-C0252114384D}"/>
                </c:ext>
              </c:extLst>
            </c:dLbl>
            <c:dLbl>
              <c:idx val="4"/>
              <c:layout>
                <c:manualLayout>
                  <c:x val="-0.14918222140693299"/>
                  <c:y val="8.3545862265613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AC2-40C2-B527-C0252114384D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AC2-40C2-B527-C0252114384D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AC2-40C2-B527-C0252114384D}"/>
                </c:ext>
              </c:extLst>
            </c:dLbl>
            <c:dLbl>
              <c:idx val="7"/>
              <c:layout>
                <c:manualLayout>
                  <c:x val="-0.25472528501097169"/>
                  <c:y val="9.257278928907759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C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80C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données!$U$156:$AA$156</c:f>
              <c:numCache>
                <c:formatCode>#,##0</c:formatCode>
                <c:ptCount val="7"/>
                <c:pt idx="0">
                  <c:v>151</c:v>
                </c:pt>
                <c:pt idx="1">
                  <c:v>189</c:v>
                </c:pt>
                <c:pt idx="2">
                  <c:v>215</c:v>
                </c:pt>
                <c:pt idx="3">
                  <c:v>268</c:v>
                </c:pt>
                <c:pt idx="4">
                  <c:v>330.26</c:v>
                </c:pt>
                <c:pt idx="5">
                  <c:v>336.45</c:v>
                </c:pt>
                <c:pt idx="6">
                  <c:v>408.35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9AC2-40C2-B527-C0252114384D}"/>
            </c:ext>
          </c:extLst>
        </c:ser>
        <c:ser>
          <c:idx val="4"/>
          <c:order val="4"/>
          <c:tx>
            <c:strRef>
              <c:f>données!$A$157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données!$U$157:$AB$157</c:f>
              <c:numCache>
                <c:formatCode>#,##0</c:formatCode>
                <c:ptCount val="8"/>
                <c:pt idx="0">
                  <c:v>3065.8</c:v>
                </c:pt>
                <c:pt idx="1">
                  <c:v>2872</c:v>
                </c:pt>
                <c:pt idx="2">
                  <c:v>2718</c:v>
                </c:pt>
                <c:pt idx="3">
                  <c:v>2614</c:v>
                </c:pt>
                <c:pt idx="4">
                  <c:v>2671</c:v>
                </c:pt>
                <c:pt idx="5">
                  <c:v>2218</c:v>
                </c:pt>
                <c:pt idx="6">
                  <c:v>2121</c:v>
                </c:pt>
                <c:pt idx="7">
                  <c:v>2219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9AC2-40C2-B527-C0252114384D}"/>
            </c:ext>
          </c:extLst>
        </c:ser>
        <c:ser>
          <c:idx val="5"/>
          <c:order val="5"/>
          <c:tx>
            <c:strRef>
              <c:f>données!$A$158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9666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9.7435901370317036E-3"/>
                  <c:y val="-1.5805110366427882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3399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AC2-40C2-B527-C025211438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données!$T$158:$AB$158</c:f>
              <c:numCache>
                <c:formatCode>#,##0</c:formatCode>
                <c:ptCount val="9"/>
                <c:pt idx="0">
                  <c:v>590</c:v>
                </c:pt>
                <c:pt idx="1">
                  <c:v>511</c:v>
                </c:pt>
                <c:pt idx="2">
                  <c:v>589</c:v>
                </c:pt>
                <c:pt idx="3">
                  <c:v>587</c:v>
                </c:pt>
                <c:pt idx="4">
                  <c:v>438</c:v>
                </c:pt>
                <c:pt idx="5">
                  <c:v>535</c:v>
                </c:pt>
                <c:pt idx="6">
                  <c:v>387</c:v>
                </c:pt>
                <c:pt idx="7">
                  <c:v>640</c:v>
                </c:pt>
                <c:pt idx="8">
                  <c:v>658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9AC2-40C2-B527-C0252114384D}"/>
            </c:ext>
          </c:extLst>
        </c:ser>
        <c:ser>
          <c:idx val="6"/>
          <c:order val="6"/>
          <c:tx>
            <c:strRef>
              <c:f>données!$A$159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4925"/>
          </c:spPr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F-9AC2-40C2-B527-C0252114384D}"/>
              </c:ext>
            </c:extLst>
          </c:dPt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données!$T$159:$Y$159</c:f>
              <c:numCache>
                <c:formatCode>General</c:formatCode>
                <c:ptCount val="6"/>
                <c:pt idx="0">
                  <c:v>4430</c:v>
                </c:pt>
                <c:pt idx="1">
                  <c:v>5079</c:v>
                </c:pt>
                <c:pt idx="2">
                  <c:v>6783</c:v>
                </c:pt>
                <c:pt idx="3">
                  <c:v>5954</c:v>
                </c:pt>
                <c:pt idx="4">
                  <c:v>5971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0-9AC2-40C2-B527-C0252114384D}"/>
            </c:ext>
          </c:extLst>
        </c:ser>
        <c:ser>
          <c:idx val="7"/>
          <c:order val="7"/>
          <c:tx>
            <c:strRef>
              <c:f>données!$A$160</c:f>
              <c:strCache>
                <c:ptCount val="1"/>
                <c:pt idx="0">
                  <c:v>Poland</c:v>
                </c:pt>
              </c:strCache>
            </c:strRef>
          </c:tx>
          <c:spPr>
            <a:ln w="38100"/>
          </c:spP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AC2-40C2-B527-C0252114384D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AC2-40C2-B527-C0252114384D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AC2-40C2-B527-C0252114384D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AC2-40C2-B527-C0252114384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CC99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données!$U$152:$AB$152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données!$T$160:$Y$160</c:f>
              <c:numCache>
                <c:formatCode>General</c:formatCode>
                <c:ptCount val="6"/>
                <c:pt idx="0">
                  <c:v>2743</c:v>
                </c:pt>
                <c:pt idx="1">
                  <c:v>3628</c:v>
                </c:pt>
                <c:pt idx="2">
                  <c:v>5109</c:v>
                </c:pt>
                <c:pt idx="3">
                  <c:v>6013</c:v>
                </c:pt>
                <c:pt idx="4">
                  <c:v>4310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5-9AC2-40C2-B527-C02521143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65504"/>
        <c:axId val="312790400"/>
      </c:lineChart>
      <c:catAx>
        <c:axId val="31336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790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279040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60843453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365504"/>
        <c:crosses val="autoZero"/>
        <c:crossBetween val="between"/>
        <c:maj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6.903765690376569E-2"/>
          <c:y val="0.94406779661016949"/>
          <c:w val="0.86715492153438978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white clover seed areas / trèfle blanc</a:t>
            </a:r>
          </a:p>
        </c:rich>
      </c:tx>
      <c:layout>
        <c:manualLayout>
          <c:xMode val="edge"/>
          <c:yMode val="edge"/>
          <c:x val="0.2541665433783199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849737532808402E-2"/>
          <c:y val="0.12970318180419541"/>
          <c:w val="0.89039665970772441"/>
          <c:h val="0.70558375634517767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données!$A$162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4"/>
              <c:layout>
                <c:manualLayout>
                  <c:x val="-2.7838828962947725E-3"/>
                  <c:y val="-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66A-4077-89BC-1213B2C6E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données!$U$161:$AB$161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données!$U$162:$AA$162</c:f>
              <c:numCache>
                <c:formatCode>#,##0</c:formatCode>
                <c:ptCount val="7"/>
                <c:pt idx="0">
                  <c:v>25</c:v>
                </c:pt>
                <c:pt idx="1">
                  <c:v>24</c:v>
                </c:pt>
                <c:pt idx="2">
                  <c:v>13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66A-4077-89BC-1213B2C6E3CC}"/>
            </c:ext>
          </c:extLst>
        </c:ser>
        <c:ser>
          <c:idx val="1"/>
          <c:order val="1"/>
          <c:tx>
            <c:strRef>
              <c:f>données!$A$163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6A-4077-89BC-1213B2C6E3C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6A-4077-89BC-1213B2C6E3C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66A-4077-89BC-1213B2C6E3C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6A-4077-89BC-1213B2C6E3C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6A-4077-89BC-1213B2C6E3C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2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3 403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fr-FR" sz="1200" b="1" i="0" u="none" strike="noStrike" baseline="0">
                        <a:solidFill>
                          <a:srgbClr val="FF0000"/>
                        </a:solidFill>
                        <a:latin typeface="Arial"/>
                        <a:cs typeface="Arial"/>
                      </a:rPr>
                      <a:t>+25%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6A-4077-89BC-1213B2C6E3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données!$U$161:$AB$161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données!$U$163:$AA$163</c:f>
              <c:numCache>
                <c:formatCode>#,##0</c:formatCode>
                <c:ptCount val="7"/>
                <c:pt idx="0">
                  <c:v>3619</c:v>
                </c:pt>
                <c:pt idx="1">
                  <c:v>3899</c:v>
                </c:pt>
                <c:pt idx="2">
                  <c:v>4375</c:v>
                </c:pt>
                <c:pt idx="3">
                  <c:v>3474</c:v>
                </c:pt>
                <c:pt idx="4">
                  <c:v>5025</c:v>
                </c:pt>
                <c:pt idx="5">
                  <c:v>5672</c:v>
                </c:pt>
                <c:pt idx="6">
                  <c:v>4984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F66A-4077-89BC-1213B2C6E3CC}"/>
            </c:ext>
          </c:extLst>
        </c:ser>
        <c:ser>
          <c:idx val="2"/>
          <c:order val="2"/>
          <c:tx>
            <c:strRef>
              <c:f>données!$A$164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99336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2527473033326476E-2"/>
                  <c:y val="-3.61259665518351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66A-4077-89BC-1213B2C6E3CC}"/>
                </c:ext>
              </c:extLst>
            </c:dLbl>
            <c:dLbl>
              <c:idx val="5"/>
              <c:layout>
                <c:manualLayout>
                  <c:x val="-2.7838828962948744E-3"/>
                  <c:y val="-1.3547237456938185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66A-4077-89BC-1213B2C6E3C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données!$U$161:$AB$161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données!$U$164:$AB$164</c:f>
              <c:numCache>
                <c:formatCode>#,##0</c:formatCode>
                <c:ptCount val="8"/>
                <c:pt idx="0">
                  <c:v>1201</c:v>
                </c:pt>
                <c:pt idx="1">
                  <c:v>1645.6</c:v>
                </c:pt>
                <c:pt idx="2">
                  <c:v>1886</c:v>
                </c:pt>
                <c:pt idx="3">
                  <c:v>1246</c:v>
                </c:pt>
                <c:pt idx="4">
                  <c:v>2117</c:v>
                </c:pt>
                <c:pt idx="5">
                  <c:v>2244</c:v>
                </c:pt>
                <c:pt idx="6">
                  <c:v>2343</c:v>
                </c:pt>
                <c:pt idx="7">
                  <c:v>2013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F66A-4077-89BC-1213B2C6E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367040"/>
        <c:axId val="312793280"/>
      </c:lineChart>
      <c:catAx>
        <c:axId val="31336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2793280"/>
        <c:crosses val="autoZero"/>
        <c:auto val="1"/>
        <c:lblAlgn val="ctr"/>
        <c:lblOffset val="200"/>
        <c:tickLblSkip val="1"/>
        <c:tickMarkSkip val="1"/>
        <c:noMultiLvlLbl val="0"/>
      </c:catAx>
      <c:valAx>
        <c:axId val="312793280"/>
        <c:scaling>
          <c:orientation val="minMax"/>
          <c:max val="60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6374373254104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367040"/>
        <c:crosses val="autoZero"/>
        <c:crossBetween val="between"/>
        <c:maj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5156576200417533E-2"/>
          <c:y val="0.93570219966159052"/>
          <c:w val="0.89248434237995822"/>
          <c:h val="5.752961082910323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alfalfa seed areas / luzerne</a:t>
            </a:r>
          </a:p>
        </c:rich>
      </c:tx>
      <c:layout>
        <c:manualLayout>
          <c:xMode val="edge"/>
          <c:yMode val="edge"/>
          <c:x val="0.32187507876755489"/>
          <c:y val="2.02361760617486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166638298096202E-2"/>
          <c:y val="0.12570413107917072"/>
          <c:w val="0.88169648508479925"/>
          <c:h val="0.70558375634517767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données!$A$168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données!$U$167:$AB$167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données!$U$168:$AB$168</c:f>
              <c:numCache>
                <c:formatCode>#,##0</c:formatCode>
                <c:ptCount val="8"/>
                <c:pt idx="0">
                  <c:v>19465</c:v>
                </c:pt>
                <c:pt idx="1">
                  <c:v>24685</c:v>
                </c:pt>
                <c:pt idx="2">
                  <c:v>28089</c:v>
                </c:pt>
                <c:pt idx="3">
                  <c:v>22718</c:v>
                </c:pt>
                <c:pt idx="4">
                  <c:v>20656</c:v>
                </c:pt>
                <c:pt idx="5">
                  <c:v>20475</c:v>
                </c:pt>
                <c:pt idx="6">
                  <c:v>20235</c:v>
                </c:pt>
                <c:pt idx="7">
                  <c:v>18419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594-4420-9D05-27E320CA5924}"/>
            </c:ext>
          </c:extLst>
        </c:ser>
        <c:ser>
          <c:idx val="1"/>
          <c:order val="1"/>
          <c:tx>
            <c:strRef>
              <c:f>données!$A$169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données!$U$167:$AB$167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données!$U$169:$AA$169</c:f>
              <c:numCache>
                <c:formatCode>#,##0</c:formatCode>
                <c:ptCount val="7"/>
                <c:pt idx="0">
                  <c:v>36646</c:v>
                </c:pt>
                <c:pt idx="1">
                  <c:v>37655</c:v>
                </c:pt>
                <c:pt idx="2">
                  <c:v>42815</c:v>
                </c:pt>
                <c:pt idx="3">
                  <c:v>31679</c:v>
                </c:pt>
                <c:pt idx="4">
                  <c:v>36262.999999999993</c:v>
                </c:pt>
                <c:pt idx="5">
                  <c:v>38844.51</c:v>
                </c:pt>
                <c:pt idx="6">
                  <c:v>35952.870000000003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5594-4420-9D05-27E320CA59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13559552"/>
        <c:axId val="313491456"/>
      </c:lineChart>
      <c:catAx>
        <c:axId val="313559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49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491456"/>
        <c:scaling>
          <c:orientation val="minMax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5E9EFF"/>
                  </a:gs>
                  <a:gs pos="39999">
                    <a:srgbClr val="85C2FF"/>
                  </a:gs>
                  <a:gs pos="70000">
                    <a:srgbClr val="C4D6EB"/>
                  </a:gs>
                  <a:gs pos="100000">
                    <a:srgbClr val="FFEBFA"/>
                  </a:gs>
                </a:gsLst>
                <a:lin ang="81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9487120477372478E-2"/>
              <c:y val="3.70058311239013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559552"/>
        <c:crosses val="autoZero"/>
        <c:crossBetween val="between"/>
        <c:majorUnit val="4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5.845511482254697E-2"/>
          <c:y val="0.92724196277495774"/>
          <c:w val="0.89874749998630132"/>
          <c:h val="4.060913705583757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Rape area / colza</a:t>
            </a:r>
          </a:p>
        </c:rich>
      </c:tx>
      <c:layout>
        <c:manualLayout>
          <c:xMode val="edge"/>
          <c:yMode val="edge"/>
          <c:x val="0.36354176962189355"/>
          <c:y val="3.0354375194626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172483136893904E-2"/>
          <c:y val="0.10993707004898499"/>
          <c:w val="0.87439109255393177"/>
          <c:h val="0.74055273547659339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données!$A$172</c:f>
              <c:strCache>
                <c:ptCount val="1"/>
                <c:pt idx="0">
                  <c:v>Belgium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données!$U$171:$AB$171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données!$U$172:$AB$172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64E-4E27-9014-4C712784FA1F}"/>
            </c:ext>
          </c:extLst>
        </c:ser>
        <c:ser>
          <c:idx val="2"/>
          <c:order val="1"/>
          <c:tx>
            <c:strRef>
              <c:f>données!$A$173</c:f>
              <c:strCache>
                <c:ptCount val="1"/>
                <c:pt idx="0">
                  <c:v>Germany</c:v>
                </c:pt>
              </c:strCache>
            </c:strRef>
          </c:tx>
          <c:spPr>
            <a:ln w="254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données!$U$171:$AB$171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données!$U$173:$AA$173</c:f>
              <c:numCache>
                <c:formatCode>#,##0</c:formatCode>
                <c:ptCount val="7"/>
                <c:pt idx="0">
                  <c:v>2250</c:v>
                </c:pt>
                <c:pt idx="1">
                  <c:v>2602</c:v>
                </c:pt>
                <c:pt idx="2">
                  <c:v>3032</c:v>
                </c:pt>
                <c:pt idx="3">
                  <c:v>3932</c:v>
                </c:pt>
                <c:pt idx="4">
                  <c:v>3131</c:v>
                </c:pt>
                <c:pt idx="5">
                  <c:v>3535</c:v>
                </c:pt>
                <c:pt idx="6">
                  <c:v>2650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64E-4E27-9014-4C712784FA1F}"/>
            </c:ext>
          </c:extLst>
        </c:ser>
        <c:ser>
          <c:idx val="3"/>
          <c:order val="2"/>
          <c:tx>
            <c:strRef>
              <c:f>données!$A$174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données!$U$171:$AB$171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données!$U$174:$AA$174</c:f>
              <c:numCache>
                <c:formatCode>#,##0</c:formatCode>
                <c:ptCount val="7"/>
                <c:pt idx="0">
                  <c:v>0</c:v>
                </c:pt>
                <c:pt idx="1">
                  <c:v>777</c:v>
                </c:pt>
                <c:pt idx="2">
                  <c:v>680</c:v>
                </c:pt>
                <c:pt idx="3">
                  <c:v>855</c:v>
                </c:pt>
                <c:pt idx="4">
                  <c:v>583</c:v>
                </c:pt>
                <c:pt idx="5">
                  <c:v>454</c:v>
                </c:pt>
                <c:pt idx="6">
                  <c:v>774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064E-4E27-9014-4C712784FA1F}"/>
            </c:ext>
          </c:extLst>
        </c:ser>
        <c:ser>
          <c:idx val="0"/>
          <c:order val="3"/>
          <c:tx>
            <c:strRef>
              <c:f>données!$A$175</c:f>
              <c:strCache>
                <c:ptCount val="1"/>
                <c:pt idx="0">
                  <c:v>France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données!$U$171:$AB$171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données!$U$175:$AB$175</c:f>
              <c:numCache>
                <c:formatCode>#,##0</c:formatCode>
                <c:ptCount val="8"/>
                <c:pt idx="0">
                  <c:v>10375</c:v>
                </c:pt>
                <c:pt idx="1">
                  <c:v>9740</c:v>
                </c:pt>
                <c:pt idx="2">
                  <c:v>14487</c:v>
                </c:pt>
                <c:pt idx="3">
                  <c:v>17223</c:v>
                </c:pt>
                <c:pt idx="4">
                  <c:v>11225</c:v>
                </c:pt>
                <c:pt idx="5">
                  <c:v>10798</c:v>
                </c:pt>
                <c:pt idx="6">
                  <c:v>10170</c:v>
                </c:pt>
                <c:pt idx="7">
                  <c:v>10612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064E-4E27-9014-4C712784FA1F}"/>
            </c:ext>
          </c:extLst>
        </c:ser>
        <c:ser>
          <c:idx val="5"/>
          <c:order val="4"/>
          <c:tx>
            <c:strRef>
              <c:f>données!$A$177</c:f>
              <c:strCache>
                <c:ptCount val="1"/>
                <c:pt idx="0">
                  <c:v>Sweden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données!$U$171:$AB$171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données!$U$177:$AB$177</c:f>
              <c:numCache>
                <c:formatCode>#,##0</c:formatCode>
                <c:ptCount val="8"/>
                <c:pt idx="0">
                  <c:v>64</c:v>
                </c:pt>
                <c:pt idx="1">
                  <c:v>160.4</c:v>
                </c:pt>
                <c:pt idx="2">
                  <c:v>92</c:v>
                </c:pt>
                <c:pt idx="3">
                  <c:v>84</c:v>
                </c:pt>
                <c:pt idx="4">
                  <c:v>45</c:v>
                </c:pt>
                <c:pt idx="5">
                  <c:v>189</c:v>
                </c:pt>
                <c:pt idx="6">
                  <c:v>157.69999999999999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064E-4E27-9014-4C712784FA1F}"/>
            </c:ext>
          </c:extLst>
        </c:ser>
        <c:ser>
          <c:idx val="8"/>
          <c:order val="5"/>
          <c:tx>
            <c:strRef>
              <c:f>données!$A$178</c:f>
              <c:strCache>
                <c:ptCount val="1"/>
                <c:pt idx="0">
                  <c:v>Finland</c:v>
                </c:pt>
              </c:strCache>
            </c:strRef>
          </c:tx>
          <c:spPr>
            <a:ln w="31750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données!$U$171:$AB$171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données!$U$178:$AB$178</c:f>
              <c:numCache>
                <c:formatCode>#,##0</c:formatCode>
                <c:ptCount val="8"/>
                <c:pt idx="0">
                  <c:v>341</c:v>
                </c:pt>
                <c:pt idx="1">
                  <c:v>471</c:v>
                </c:pt>
                <c:pt idx="2">
                  <c:v>413</c:v>
                </c:pt>
                <c:pt idx="3">
                  <c:v>300</c:v>
                </c:pt>
                <c:pt idx="4">
                  <c:v>210</c:v>
                </c:pt>
                <c:pt idx="5">
                  <c:v>227</c:v>
                </c:pt>
                <c:pt idx="6">
                  <c:v>415</c:v>
                </c:pt>
                <c:pt idx="7">
                  <c:v>388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064E-4E27-9014-4C712784F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629184"/>
        <c:axId val="313493760"/>
      </c:lineChart>
      <c:catAx>
        <c:axId val="31362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493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493760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2.0876794166419573E-2"/>
              <c:y val="3.89885671070777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13629184"/>
        <c:crosses val="autoZero"/>
        <c:crossBetween val="between"/>
        <c:majorUnit val="4000"/>
      </c:valAx>
      <c:spPr>
        <a:solidFill>
          <a:srgbClr val="FFFF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577405857740586E-2"/>
          <c:y val="0.92372863561546326"/>
          <c:w val="0.87761506276150625"/>
          <c:h val="5.423728813559325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Total surface semences de graminées UE 27 / Herbage seeds total area UE 27</a:t>
            </a:r>
          </a:p>
        </c:rich>
      </c:tx>
      <c:layout>
        <c:manualLayout>
          <c:xMode val="edge"/>
          <c:yMode val="edge"/>
          <c:x val="0.13357395190466057"/>
          <c:y val="3.64238191156337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007220216606495E-2"/>
          <c:y val="0.36092715231788081"/>
          <c:w val="0.68231046931407946"/>
          <c:h val="0.49668874172185429"/>
        </c:manualLayout>
      </c:layout>
      <c:pie3DChart>
        <c:varyColors val="1"/>
        <c:ser>
          <c:idx val="0"/>
          <c:order val="0"/>
          <c:tx>
            <c:strRef>
              <c:f>'eu27'!$A$51</c:f>
              <c:strCache>
                <c:ptCount val="1"/>
                <c:pt idx="0">
                  <c:v>graminées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EC47-46A4-9FE5-FBFAEB90A370}"/>
              </c:ext>
            </c:extLst>
          </c:dPt>
          <c:dPt>
            <c:idx val="1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47-46A4-9FE5-FBFAEB90A37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'eu27'!$B$50:$C$50</c:f>
              <c:strCache>
                <c:ptCount val="2"/>
                <c:pt idx="0">
                  <c:v>2011 ESGG</c:v>
                </c:pt>
                <c:pt idx="1">
                  <c:v>2011 autres pays</c:v>
                </c:pt>
              </c:strCache>
            </c:strRef>
          </c:cat>
          <c:val>
            <c:numRef>
              <c:f>'eu27'!$B$51:$C$51</c:f>
              <c:numCache>
                <c:formatCode>#,##0</c:formatCode>
                <c:ptCount val="2"/>
                <c:pt idx="0">
                  <c:v>123287</c:v>
                </c:pt>
                <c:pt idx="1">
                  <c:v>41159.924000000028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47-46A4-9FE5-FBFAEB90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353796316001044"/>
          <c:y val="0.53642399351243886"/>
          <c:w val="0.21660646473244893"/>
          <c:h val="0.14569527646253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Total surface semences de légumineuses UE 27 / legume seeds total area EU 27</a:t>
            </a:r>
          </a:p>
        </c:rich>
      </c:tx>
      <c:layout>
        <c:manualLayout>
          <c:xMode val="edge"/>
          <c:yMode val="edge"/>
          <c:x val="0.11913362181078717"/>
          <c:y val="3.64238191156337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606498194945848"/>
          <c:y val="0.29801324503311261"/>
          <c:w val="0.64620938628158842"/>
          <c:h val="0.47019867549668876"/>
        </c:manualLayout>
      </c:layout>
      <c:pie3DChart>
        <c:varyColors val="1"/>
        <c:ser>
          <c:idx val="0"/>
          <c:order val="0"/>
          <c:tx>
            <c:strRef>
              <c:f>'eu27'!$A$54</c:f>
              <c:strCache>
                <c:ptCount val="1"/>
                <c:pt idx="0">
                  <c:v>légumineuses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812-4608-AAD9-6F9CB7BD9597}"/>
              </c:ext>
            </c:extLst>
          </c:dPt>
          <c:dPt>
            <c:idx val="1"/>
            <c:bubble3D val="0"/>
            <c:spPr>
              <a:solidFill>
                <a:srgbClr val="802060"/>
              </a:solidFill>
              <a:ln w="12700">
                <a:solidFill>
                  <a:srgbClr val="000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12-4608-AAD9-6F9CB7BD9597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'eu27'!$B$53:$C$53</c:f>
              <c:strCache>
                <c:ptCount val="2"/>
                <c:pt idx="0">
                  <c:v>2010 ESGG</c:v>
                </c:pt>
                <c:pt idx="1">
                  <c:v> 2010 autres pays</c:v>
                </c:pt>
              </c:strCache>
            </c:strRef>
          </c:cat>
          <c:val>
            <c:numRef>
              <c:f>'eu27'!$B$54:$C$54</c:f>
              <c:numCache>
                <c:formatCode>#,##0</c:formatCode>
                <c:ptCount val="2"/>
                <c:pt idx="0">
                  <c:v>76507</c:v>
                </c:pt>
                <c:pt idx="1">
                  <c:v>60653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12-4608-AAD9-6F9CB7BD9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27795512047488"/>
          <c:y val="0.80794691361254267"/>
          <c:w val="0.22382672436215745"/>
          <c:h val="0.145695276462535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r>
              <a:rPr lang="fr-FR"/>
              <a:t>Comparaison surfaces  légumineuses EU 27</a:t>
            </a:r>
          </a:p>
        </c:rich>
      </c:tx>
      <c:layout>
        <c:manualLayout>
          <c:xMode val="edge"/>
          <c:yMode val="edge"/>
          <c:x val="0.24827887752348712"/>
          <c:y val="2.0161375274970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44817927170869"/>
          <c:y val="0.11859838274932614"/>
          <c:w val="0.87394957983193278"/>
          <c:h val="0.6495956873315363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'eu27'!$B$27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'eu27'!$B$28:$B$43</c:f>
              <c:numCache>
                <c:formatCode>General</c:formatCode>
                <c:ptCount val="16"/>
                <c:pt idx="0">
                  <c:v>127.06</c:v>
                </c:pt>
                <c:pt idx="1">
                  <c:v>86</c:v>
                </c:pt>
                <c:pt idx="2">
                  <c:v>2965.48</c:v>
                </c:pt>
                <c:pt idx="3">
                  <c:v>37890.32</c:v>
                </c:pt>
                <c:pt idx="4">
                  <c:v>265.8</c:v>
                </c:pt>
                <c:pt idx="5">
                  <c:v>25176.5</c:v>
                </c:pt>
                <c:pt idx="6">
                  <c:v>5030.058</c:v>
                </c:pt>
                <c:pt idx="7">
                  <c:v>228</c:v>
                </c:pt>
                <c:pt idx="8">
                  <c:v>5694.81</c:v>
                </c:pt>
                <c:pt idx="9">
                  <c:v>18684.79</c:v>
                </c:pt>
                <c:pt idx="10">
                  <c:v>4933</c:v>
                </c:pt>
                <c:pt idx="11">
                  <c:v>0</c:v>
                </c:pt>
                <c:pt idx="12">
                  <c:v>412.38</c:v>
                </c:pt>
                <c:pt idx="13">
                  <c:v>15329.28</c:v>
                </c:pt>
                <c:pt idx="14">
                  <c:v>23509.49</c:v>
                </c:pt>
                <c:pt idx="15">
                  <c:v>1151.28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8-4283-8759-CB130C7FBAF4}"/>
            </c:ext>
          </c:extLst>
        </c:ser>
        <c:ser>
          <c:idx val="2"/>
          <c:order val="1"/>
          <c:tx>
            <c:strRef>
              <c:f>'eu27'!$C$27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'eu27'!$C$28:$C$43</c:f>
              <c:numCache>
                <c:formatCode>General</c:formatCode>
                <c:ptCount val="16"/>
                <c:pt idx="0">
                  <c:v>185</c:v>
                </c:pt>
                <c:pt idx="1">
                  <c:v>100</c:v>
                </c:pt>
                <c:pt idx="2">
                  <c:v>3957</c:v>
                </c:pt>
                <c:pt idx="3">
                  <c:v>40534</c:v>
                </c:pt>
                <c:pt idx="4">
                  <c:v>326</c:v>
                </c:pt>
                <c:pt idx="5">
                  <c:v>28803</c:v>
                </c:pt>
                <c:pt idx="6">
                  <c:v>5542</c:v>
                </c:pt>
                <c:pt idx="7">
                  <c:v>207</c:v>
                </c:pt>
                <c:pt idx="8">
                  <c:v>5486</c:v>
                </c:pt>
                <c:pt idx="9">
                  <c:v>19423</c:v>
                </c:pt>
                <c:pt idx="10">
                  <c:v>4801</c:v>
                </c:pt>
                <c:pt idx="11">
                  <c:v>0</c:v>
                </c:pt>
                <c:pt idx="12">
                  <c:v>1145</c:v>
                </c:pt>
                <c:pt idx="13">
                  <c:v>12828</c:v>
                </c:pt>
                <c:pt idx="14">
                  <c:v>25089</c:v>
                </c:pt>
                <c:pt idx="15">
                  <c:v>881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F8-4283-8759-CB130C7FBAF4}"/>
            </c:ext>
          </c:extLst>
        </c:ser>
        <c:ser>
          <c:idx val="0"/>
          <c:order val="2"/>
          <c:tx>
            <c:strRef>
              <c:f>'eu27'!$D$27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'eu27'!$A$28:$A$43</c:f>
              <c:strCache>
                <c:ptCount val="16"/>
                <c:pt idx="0">
                  <c:v>HEDYSARIUM CORONARIUM L.</c:v>
                </c:pt>
                <c:pt idx="1">
                  <c:v>MEDICAGO LUPULINA L.    </c:v>
                </c:pt>
                <c:pt idx="2">
                  <c:v>MEDICAGO SATIVA L. (ECOT</c:v>
                </c:pt>
                <c:pt idx="3">
                  <c:v>MEDICAGO SATIVA L. (VARI</c:v>
                </c:pt>
                <c:pt idx="4">
                  <c:v>ONOBRICHIS VICIIFOLIA SC</c:v>
                </c:pt>
                <c:pt idx="5">
                  <c:v>PISUM SATIVUM L. PARTIM </c:v>
                </c:pt>
                <c:pt idx="6">
                  <c:v>TRIFOLIUM ALEXANDRINUM L</c:v>
                </c:pt>
                <c:pt idx="7">
                  <c:v>TRIFOLIUM HYBRIDUM L.   </c:v>
                </c:pt>
                <c:pt idx="8">
                  <c:v>TRIFOLIUM INCARNATUM L. </c:v>
                </c:pt>
                <c:pt idx="9">
                  <c:v>TRIFOLIUM PRATENSE L.   </c:v>
                </c:pt>
                <c:pt idx="10">
                  <c:v>TRIFOLIUM REPENS L.     </c:v>
                </c:pt>
                <c:pt idx="11">
                  <c:v>TRIFOLIUM REPENS L. GIGA</c:v>
                </c:pt>
                <c:pt idx="12">
                  <c:v>TRIFOLIUM RESUPINATUM L.</c:v>
                </c:pt>
                <c:pt idx="13">
                  <c:v>VICIA FABA L. PARTIM    </c:v>
                </c:pt>
                <c:pt idx="14">
                  <c:v>VICIA SATIVA L.         </c:v>
                </c:pt>
                <c:pt idx="15">
                  <c:v>VICIA VILLOSA ROTH.     </c:v>
                </c:pt>
              </c:strCache>
            </c:strRef>
          </c:cat>
          <c:val>
            <c:numRef>
              <c:f>'eu27'!$D$28:$D$43</c:f>
              <c:numCache>
                <c:formatCode>0</c:formatCode>
                <c:ptCount val="16"/>
                <c:pt idx="0">
                  <c:v>141.85</c:v>
                </c:pt>
                <c:pt idx="1">
                  <c:v>36</c:v>
                </c:pt>
                <c:pt idx="2">
                  <c:v>2525.06</c:v>
                </c:pt>
                <c:pt idx="3">
                  <c:v>41522.68</c:v>
                </c:pt>
                <c:pt idx="4">
                  <c:v>95.99</c:v>
                </c:pt>
                <c:pt idx="5">
                  <c:v>23952.65</c:v>
                </c:pt>
                <c:pt idx="6">
                  <c:v>5810.63</c:v>
                </c:pt>
                <c:pt idx="7">
                  <c:v>225.75</c:v>
                </c:pt>
                <c:pt idx="8">
                  <c:v>5230.3599999999997</c:v>
                </c:pt>
                <c:pt idx="9">
                  <c:v>15890.609999999997</c:v>
                </c:pt>
                <c:pt idx="10">
                  <c:v>4726.55</c:v>
                </c:pt>
                <c:pt idx="11">
                  <c:v>0</c:v>
                </c:pt>
                <c:pt idx="12">
                  <c:v>912.07999999999993</c:v>
                </c:pt>
                <c:pt idx="13">
                  <c:v>11984</c:v>
                </c:pt>
                <c:pt idx="14">
                  <c:v>22696.04</c:v>
                </c:pt>
                <c:pt idx="15">
                  <c:v>1409.84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F8-4283-8759-CB130C7FBA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076672"/>
        <c:axId val="313498368"/>
      </c:barChart>
      <c:catAx>
        <c:axId val="314076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3498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3498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40766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443508229695588"/>
          <c:y val="0.14824802043083571"/>
          <c:w val="6.0691000073588963E-2"/>
          <c:h val="0.118598345527213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45" b="0" i="0" u="none" strike="noStrike" baseline="0">
              <a:solidFill>
                <a:srgbClr val="000000"/>
              </a:solidFill>
              <a:latin typeface="Candara"/>
              <a:ea typeface="Candara"/>
              <a:cs typeface="Candara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andara"/>
          <a:ea typeface="Candara"/>
          <a:cs typeface="Candara"/>
        </a:defRPr>
      </a:pPr>
      <a:endParaRPr lang="nl-BE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600" b="1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r>
              <a:rPr lang="fr-FR"/>
              <a:t>Comparaison surfaces graminées EU 27</a:t>
            </a:r>
          </a:p>
        </c:rich>
      </c:tx>
      <c:layout>
        <c:manualLayout>
          <c:xMode val="edge"/>
          <c:yMode val="edge"/>
          <c:x val="0.31352024922118382"/>
          <c:y val="2.0134287598535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31559290382819"/>
          <c:y val="0.1738544474393531"/>
          <c:w val="0.86181139122315598"/>
          <c:h val="0.5215633423180593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'eu27'!$B$4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'eu27'!$B$5:$B$23</c:f>
              <c:numCache>
                <c:formatCode>#,##0</c:formatCode>
                <c:ptCount val="19"/>
                <c:pt idx="0">
                  <c:v>24</c:v>
                </c:pt>
                <c:pt idx="1">
                  <c:v>226.6</c:v>
                </c:pt>
                <c:pt idx="2">
                  <c:v>109</c:v>
                </c:pt>
                <c:pt idx="3">
                  <c:v>292.10000000000002</c:v>
                </c:pt>
                <c:pt idx="4">
                  <c:v>376.75</c:v>
                </c:pt>
                <c:pt idx="5">
                  <c:v>11398</c:v>
                </c:pt>
                <c:pt idx="6">
                  <c:v>16705</c:v>
                </c:pt>
                <c:pt idx="7">
                  <c:v>3095</c:v>
                </c:pt>
                <c:pt idx="8">
                  <c:v>9409</c:v>
                </c:pt>
                <c:pt idx="9">
                  <c:v>32300</c:v>
                </c:pt>
                <c:pt idx="10">
                  <c:v>2605</c:v>
                </c:pt>
                <c:pt idx="11">
                  <c:v>38762</c:v>
                </c:pt>
                <c:pt idx="12">
                  <c:v>68742</c:v>
                </c:pt>
                <c:pt idx="13">
                  <c:v>4042.92</c:v>
                </c:pt>
                <c:pt idx="14">
                  <c:v>20.2</c:v>
                </c:pt>
                <c:pt idx="15">
                  <c:v>16211</c:v>
                </c:pt>
                <c:pt idx="16">
                  <c:v>41.9</c:v>
                </c:pt>
                <c:pt idx="17">
                  <c:v>9239</c:v>
                </c:pt>
                <c:pt idx="18">
                  <c:v>72.7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38-409D-A241-D251AABAB8B4}"/>
            </c:ext>
          </c:extLst>
        </c:ser>
        <c:ser>
          <c:idx val="2"/>
          <c:order val="1"/>
          <c:tx>
            <c:strRef>
              <c:f>'eu27'!$C$4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'eu27'!$C$5:$C$23</c:f>
              <c:numCache>
                <c:formatCode>#,##0</c:formatCode>
                <c:ptCount val="19"/>
                <c:pt idx="0">
                  <c:v>0</c:v>
                </c:pt>
                <c:pt idx="1">
                  <c:v>190</c:v>
                </c:pt>
                <c:pt idx="2">
                  <c:v>203</c:v>
                </c:pt>
                <c:pt idx="3">
                  <c:v>188</c:v>
                </c:pt>
                <c:pt idx="4">
                  <c:v>339</c:v>
                </c:pt>
                <c:pt idx="5">
                  <c:v>5976</c:v>
                </c:pt>
                <c:pt idx="6">
                  <c:v>11142</c:v>
                </c:pt>
                <c:pt idx="7">
                  <c:v>2976</c:v>
                </c:pt>
                <c:pt idx="8">
                  <c:v>6674</c:v>
                </c:pt>
                <c:pt idx="9">
                  <c:v>27873</c:v>
                </c:pt>
                <c:pt idx="10">
                  <c:v>1208</c:v>
                </c:pt>
                <c:pt idx="11">
                  <c:v>31424</c:v>
                </c:pt>
                <c:pt idx="12">
                  <c:v>54530</c:v>
                </c:pt>
                <c:pt idx="13">
                  <c:v>2152</c:v>
                </c:pt>
                <c:pt idx="14">
                  <c:v>31</c:v>
                </c:pt>
                <c:pt idx="15">
                  <c:v>14486</c:v>
                </c:pt>
                <c:pt idx="16">
                  <c:v>66</c:v>
                </c:pt>
                <c:pt idx="17">
                  <c:v>9601</c:v>
                </c:pt>
                <c:pt idx="18">
                  <c:v>147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38-409D-A241-D251AABAB8B4}"/>
            </c:ext>
          </c:extLst>
        </c:ser>
        <c:ser>
          <c:idx val="0"/>
          <c:order val="2"/>
          <c:tx>
            <c:strRef>
              <c:f>'eu27'!$D$4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cat>
            <c:strRef>
              <c:f>'eu27'!$A$5:$A$23</c:f>
              <c:strCache>
                <c:ptCount val="19"/>
                <c:pt idx="0">
                  <c:v>AGROSTIS CANINA L.    </c:v>
                </c:pt>
                <c:pt idx="1">
                  <c:v>AGROSTIS GIGANTEA ROTH. </c:v>
                </c:pt>
                <c:pt idx="2">
                  <c:v>AGROSTIS STOLONIFERA L. </c:v>
                </c:pt>
                <c:pt idx="3">
                  <c:v>AGROSTIS TENUIS.CAPILL.</c:v>
                </c:pt>
                <c:pt idx="4">
                  <c:v>ARRHENATHERUM ELATIUS L </c:v>
                </c:pt>
                <c:pt idx="5">
                  <c:v>DACTYLIS GLOMERATA L.   </c:v>
                </c:pt>
                <c:pt idx="6">
                  <c:v>FESTUCA ARUNDINACAE SCH.</c:v>
                </c:pt>
                <c:pt idx="7">
                  <c:v>FESTUCA OVINA L.        </c:v>
                </c:pt>
                <c:pt idx="8">
                  <c:v>FESTUCA PRATENSIS HUDS. </c:v>
                </c:pt>
                <c:pt idx="9">
                  <c:v>FESTUCA RUBRA L.        </c:v>
                </c:pt>
                <c:pt idx="10">
                  <c:v>FESTULOLIUM</c:v>
                </c:pt>
                <c:pt idx="11">
                  <c:v>LOLIUM MULTIFLORUM LAM. </c:v>
                </c:pt>
                <c:pt idx="12">
                  <c:v>LOLIUM PER. L. </c:v>
                </c:pt>
                <c:pt idx="13">
                  <c:v>LOLIUM X BOUCHEANUM</c:v>
                </c:pt>
                <c:pt idx="14">
                  <c:v>PHLEUM BERTOLONII (DC)  </c:v>
                </c:pt>
                <c:pt idx="15">
                  <c:v>PHLEUM PRATENSE L.      </c:v>
                </c:pt>
                <c:pt idx="16">
                  <c:v>POA NEMORALIS L.</c:v>
                </c:pt>
                <c:pt idx="17">
                  <c:v>POA PRATENSIS L.</c:v>
                </c:pt>
                <c:pt idx="18">
                  <c:v>POA TRIVIALIS L.et PALUSTRIS       </c:v>
                </c:pt>
              </c:strCache>
            </c:strRef>
          </c:cat>
          <c:val>
            <c:numRef>
              <c:f>'eu27'!$D$5:$D$23</c:f>
              <c:numCache>
                <c:formatCode>#,##0</c:formatCode>
                <c:ptCount val="19"/>
                <c:pt idx="0">
                  <c:v>0</c:v>
                </c:pt>
                <c:pt idx="1">
                  <c:v>212.39</c:v>
                </c:pt>
                <c:pt idx="2">
                  <c:v>154.5</c:v>
                </c:pt>
                <c:pt idx="3">
                  <c:v>143.6</c:v>
                </c:pt>
                <c:pt idx="4">
                  <c:v>351.89</c:v>
                </c:pt>
                <c:pt idx="5">
                  <c:v>3765.4199999999996</c:v>
                </c:pt>
                <c:pt idx="6">
                  <c:v>7775.23</c:v>
                </c:pt>
                <c:pt idx="7">
                  <c:v>3003.38</c:v>
                </c:pt>
                <c:pt idx="8">
                  <c:v>5444.7099999999991</c:v>
                </c:pt>
                <c:pt idx="9">
                  <c:v>25920.763999999999</c:v>
                </c:pt>
                <c:pt idx="10">
                  <c:v>1372.5099999999998</c:v>
                </c:pt>
                <c:pt idx="11">
                  <c:v>34603.910000000003</c:v>
                </c:pt>
                <c:pt idx="12">
                  <c:v>54508.909999999996</c:v>
                </c:pt>
                <c:pt idx="13">
                  <c:v>2501.92</c:v>
                </c:pt>
                <c:pt idx="14">
                  <c:v>24.75</c:v>
                </c:pt>
                <c:pt idx="15">
                  <c:v>14488.75</c:v>
                </c:pt>
                <c:pt idx="16">
                  <c:v>127.41</c:v>
                </c:pt>
                <c:pt idx="17">
                  <c:v>9906.56</c:v>
                </c:pt>
                <c:pt idx="18">
                  <c:v>140.32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A38-409D-A241-D251AABAB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205184"/>
        <c:axId val="314164352"/>
      </c:barChart>
      <c:catAx>
        <c:axId val="314205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416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1416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00" b="0" i="0" u="none" strike="noStrike" baseline="0">
                <a:solidFill>
                  <a:srgbClr val="000000"/>
                </a:solidFill>
                <a:latin typeface="Candara"/>
                <a:ea typeface="Candara"/>
                <a:cs typeface="Candara"/>
              </a:defRPr>
            </a:pPr>
            <a:endParaRPr lang="nl-BE"/>
          </a:p>
        </c:txPr>
        <c:crossAx val="314205184"/>
        <c:crosses val="autoZero"/>
        <c:crossBetween val="between"/>
      </c:valAx>
      <c:spPr>
        <a:noFill/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070032133833731"/>
          <c:y val="0.28032345872448911"/>
          <c:w val="0.23622783133416736"/>
          <c:h val="9.43396493650772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75" b="0" i="0" u="none" strike="noStrike" baseline="0">
              <a:solidFill>
                <a:srgbClr val="000000"/>
              </a:solidFill>
              <a:latin typeface="Candara"/>
              <a:ea typeface="Candara"/>
              <a:cs typeface="Candara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Candara"/>
          <a:ea typeface="Candara"/>
          <a:cs typeface="Candara"/>
        </a:defRPr>
      </a:pPr>
      <a:endParaRPr lang="nl-B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durum wheat areas / blé dur</a:t>
            </a:r>
          </a:p>
        </c:rich>
      </c:tx>
      <c:layout>
        <c:manualLayout>
          <c:xMode val="edge"/>
          <c:yMode val="edge"/>
          <c:x val="0.31145844269466316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80041797283177E-2"/>
          <c:y val="0.10508474576271186"/>
          <c:w val="0.90243821084864406"/>
          <c:h val="0.74406779661016953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données!$A$13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0"/>
                  <c:y val="-2.48366020043866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40-4F05-9BA9-C136068B34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données!$U$12:$AB$12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données!$U$13:$AB$13</c:f>
              <c:numCache>
                <c:formatCode>#,##0</c:formatCode>
                <c:ptCount val="8"/>
                <c:pt idx="0">
                  <c:v>13155</c:v>
                </c:pt>
                <c:pt idx="1">
                  <c:v>13410</c:v>
                </c:pt>
                <c:pt idx="2">
                  <c:v>10525</c:v>
                </c:pt>
                <c:pt idx="3">
                  <c:v>8244</c:v>
                </c:pt>
                <c:pt idx="4">
                  <c:v>6556</c:v>
                </c:pt>
                <c:pt idx="5">
                  <c:v>7712</c:v>
                </c:pt>
                <c:pt idx="6">
                  <c:v>7893</c:v>
                </c:pt>
                <c:pt idx="7">
                  <c:v>7382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40-4F05-9BA9-C136068B3496}"/>
            </c:ext>
          </c:extLst>
        </c:ser>
        <c:ser>
          <c:idx val="1"/>
          <c:order val="1"/>
          <c:tx>
            <c:strRef>
              <c:f>données!$A$14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40-4F05-9BA9-C136068B34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données!$U$12:$AB$12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données!$U$14:$AA$14</c:f>
              <c:numCache>
                <c:formatCode>#,##0</c:formatCode>
                <c:ptCount val="7"/>
                <c:pt idx="0">
                  <c:v>83785</c:v>
                </c:pt>
                <c:pt idx="1">
                  <c:v>64105</c:v>
                </c:pt>
                <c:pt idx="2">
                  <c:v>58955</c:v>
                </c:pt>
                <c:pt idx="3">
                  <c:v>52538</c:v>
                </c:pt>
                <c:pt idx="4">
                  <c:v>56031.07</c:v>
                </c:pt>
                <c:pt idx="5">
                  <c:v>62136.15</c:v>
                </c:pt>
                <c:pt idx="6">
                  <c:v>67083.990000000005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40-4F05-9BA9-C136068B3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220416"/>
        <c:axId val="306549824"/>
      </c:lineChart>
      <c:catAx>
        <c:axId val="308220416"/>
        <c:scaling>
          <c:orientation val="minMax"/>
        </c:scaling>
        <c:delete val="0"/>
        <c:axPos val="b"/>
        <c:numFmt formatCode="General" sourceLinked="1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6549824"/>
        <c:crosses val="autoZero"/>
        <c:auto val="0"/>
        <c:lblAlgn val="ctr"/>
        <c:lblOffset val="300"/>
        <c:noMultiLvlLbl val="0"/>
      </c:catAx>
      <c:valAx>
        <c:axId val="306549824"/>
        <c:scaling>
          <c:orientation val="minMax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chemeClr val="accent1">
                      <a:lumMod val="75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16200000" scaled="1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6.959864391951006E-3"/>
              <c:y val="1.605685888305986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220416"/>
        <c:crosses val="autoZero"/>
        <c:crossBetween val="between"/>
        <c:minorUnit val="10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42946708223972002"/>
          <c:y val="0.93728790300418652"/>
          <c:w val="0.17868339895013124"/>
          <c:h val="4.237306718737676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/>
              <a:t>winter barley area / orge d'hiver</a:t>
            </a:r>
          </a:p>
        </c:rich>
      </c:tx>
      <c:layout>
        <c:manualLayout>
          <c:xMode val="edge"/>
          <c:yMode val="edge"/>
          <c:x val="0.28020832819095104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285104986876637E-2"/>
          <c:y val="0.10549136474546945"/>
          <c:w val="0.87473903966597077"/>
          <c:h val="0.7631133671742809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données!$A$19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chemeClr val="bg2">
                  <a:lumMod val="25000"/>
                </a:schemeClr>
              </a:solidFill>
            </a:ln>
          </c:spPr>
          <c:marker>
            <c:symbol val="triangle"/>
            <c:size val="7"/>
            <c:spPr>
              <a:solidFill>
                <a:srgbClr val="FFC000"/>
              </a:solidFill>
            </c:spPr>
          </c:marker>
          <c:cat>
            <c:strRef>
              <c:f>données!$U$18:$AB$18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données!$U$19:$AB$19</c:f>
              <c:numCache>
                <c:formatCode>#,##0</c:formatCode>
                <c:ptCount val="8"/>
                <c:pt idx="0">
                  <c:v>1275</c:v>
                </c:pt>
                <c:pt idx="1">
                  <c:v>1434</c:v>
                </c:pt>
                <c:pt idx="2">
                  <c:v>1220</c:v>
                </c:pt>
                <c:pt idx="3">
                  <c:v>1214</c:v>
                </c:pt>
                <c:pt idx="4">
                  <c:v>1198</c:v>
                </c:pt>
                <c:pt idx="5">
                  <c:v>1179</c:v>
                </c:pt>
                <c:pt idx="6">
                  <c:v>1073</c:v>
                </c:pt>
                <c:pt idx="7">
                  <c:v>965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071-4557-90BE-F5E4B435354B}"/>
            </c:ext>
          </c:extLst>
        </c:ser>
        <c:ser>
          <c:idx val="1"/>
          <c:order val="1"/>
          <c:tx>
            <c:strRef>
              <c:f>données!$A$20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808080"/>
              </a:solidFill>
              <a:ln w="9525">
                <a:noFill/>
              </a:ln>
            </c:spPr>
          </c:marker>
          <c:cat>
            <c:strRef>
              <c:f>données!$U$18:$AB$18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données!$U$20:$AA$20</c:f>
              <c:numCache>
                <c:formatCode>#,##0</c:formatCode>
                <c:ptCount val="7"/>
                <c:pt idx="0">
                  <c:v>18762</c:v>
                </c:pt>
                <c:pt idx="1">
                  <c:v>20941</c:v>
                </c:pt>
                <c:pt idx="2">
                  <c:v>21278</c:v>
                </c:pt>
                <c:pt idx="3">
                  <c:v>24898</c:v>
                </c:pt>
                <c:pt idx="4">
                  <c:v>25584</c:v>
                </c:pt>
                <c:pt idx="5">
                  <c:v>24391</c:v>
                </c:pt>
                <c:pt idx="6">
                  <c:v>22842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71-4557-90BE-F5E4B435354B}"/>
            </c:ext>
          </c:extLst>
        </c:ser>
        <c:ser>
          <c:idx val="2"/>
          <c:order val="2"/>
          <c:tx>
            <c:strRef>
              <c:f>données!$A$21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données!$U$18:$AB$18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données!$U$21:$AA$21</c:f>
              <c:numCache>
                <c:formatCode>#,##0</c:formatCode>
                <c:ptCount val="7"/>
                <c:pt idx="0">
                  <c:v>3531</c:v>
                </c:pt>
                <c:pt idx="1">
                  <c:v>4361</c:v>
                </c:pt>
                <c:pt idx="2">
                  <c:v>3860</c:v>
                </c:pt>
                <c:pt idx="3">
                  <c:v>3975</c:v>
                </c:pt>
                <c:pt idx="4">
                  <c:v>3050</c:v>
                </c:pt>
                <c:pt idx="5">
                  <c:v>2689</c:v>
                </c:pt>
                <c:pt idx="6">
                  <c:v>2154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071-4557-90BE-F5E4B435354B}"/>
            </c:ext>
          </c:extLst>
        </c:ser>
        <c:ser>
          <c:idx val="3"/>
          <c:order val="3"/>
          <c:tx>
            <c:strRef>
              <c:f>données!$A$22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données!$U$18:$AB$18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données!$U$22:$AB$22</c:f>
              <c:numCache>
                <c:formatCode>#,##0</c:formatCode>
                <c:ptCount val="8"/>
                <c:pt idx="0">
                  <c:v>23616</c:v>
                </c:pt>
                <c:pt idx="1">
                  <c:v>23683</c:v>
                </c:pt>
                <c:pt idx="2">
                  <c:v>21376</c:v>
                </c:pt>
                <c:pt idx="3">
                  <c:v>21206</c:v>
                </c:pt>
                <c:pt idx="4">
                  <c:v>21211</c:v>
                </c:pt>
                <c:pt idx="5">
                  <c:v>21230</c:v>
                </c:pt>
                <c:pt idx="6">
                  <c:v>19345</c:v>
                </c:pt>
                <c:pt idx="7">
                  <c:v>20105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E071-4557-90BE-F5E4B435354B}"/>
            </c:ext>
          </c:extLst>
        </c:ser>
        <c:ser>
          <c:idx val="5"/>
          <c:order val="4"/>
          <c:tx>
            <c:strRef>
              <c:f>données!$A$23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données!$U$18:$AB$18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données!$U$23:$AA$23</c:f>
              <c:numCache>
                <c:formatCode>#,##0</c:formatCode>
                <c:ptCount val="7"/>
                <c:pt idx="0">
                  <c:v>698</c:v>
                </c:pt>
                <c:pt idx="1">
                  <c:v>519.9</c:v>
                </c:pt>
                <c:pt idx="2">
                  <c:v>522</c:v>
                </c:pt>
                <c:pt idx="3">
                  <c:v>714</c:v>
                </c:pt>
                <c:pt idx="4">
                  <c:v>639</c:v>
                </c:pt>
                <c:pt idx="5">
                  <c:v>716</c:v>
                </c:pt>
                <c:pt idx="6">
                  <c:v>752.11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071-4557-90BE-F5E4B435354B}"/>
            </c:ext>
          </c:extLst>
        </c:ser>
        <c:ser>
          <c:idx val="6"/>
          <c:order val="5"/>
          <c:tx>
            <c:strRef>
              <c:f>données!$A$24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1750">
              <a:solidFill>
                <a:schemeClr val="accent3">
                  <a:lumMod val="50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4"/>
            <c:marker>
              <c:symbol val="auto"/>
            </c:marker>
            <c:bubble3D val="0"/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071-4557-90BE-F5E4B435354B}"/>
              </c:ext>
            </c:extLst>
          </c:dPt>
          <c:dPt>
            <c:idx val="5"/>
            <c:bubble3D val="0"/>
            <c:spPr>
              <a:ln w="31750">
                <a:solidFill>
                  <a:schemeClr val="accent3">
                    <a:lumMod val="50000"/>
                  </a:schemeClr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071-4557-90BE-F5E4B435354B}"/>
              </c:ext>
            </c:extLst>
          </c:dPt>
          <c:cat>
            <c:strRef>
              <c:f>données!$U$18:$AB$18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données!$U$24:$AB$24</c:f>
              <c:numCache>
                <c:formatCode>#,##0</c:formatCode>
                <c:ptCount val="8"/>
                <c:pt idx="0">
                  <c:v>10271</c:v>
                </c:pt>
                <c:pt idx="1">
                  <c:v>9972.94</c:v>
                </c:pt>
                <c:pt idx="2">
                  <c:v>9029.98</c:v>
                </c:pt>
                <c:pt idx="3">
                  <c:v>10242</c:v>
                </c:pt>
                <c:pt idx="4">
                  <c:v>9754</c:v>
                </c:pt>
                <c:pt idx="5">
                  <c:v>11126.03</c:v>
                </c:pt>
                <c:pt idx="6">
                  <c:v>10793.88</c:v>
                </c:pt>
                <c:pt idx="7">
                  <c:v>9813.64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E071-4557-90BE-F5E4B4353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10528"/>
        <c:axId val="306552128"/>
      </c:lineChart>
      <c:catAx>
        <c:axId val="308310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6552128"/>
        <c:crosses val="autoZero"/>
        <c:auto val="1"/>
        <c:lblAlgn val="ctr"/>
        <c:lblOffset val="500"/>
        <c:noMultiLvlLbl val="0"/>
      </c:catAx>
      <c:valAx>
        <c:axId val="306552128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86000">
                    <a:srgbClr val="D49E6C"/>
                  </a:gs>
                  <a:gs pos="78000">
                    <a:srgbClr val="BD7A4A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6200000" scaled="1"/>
                <a:tileRect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75548200542728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310528"/>
        <c:crosses val="autoZero"/>
        <c:crossBetween val="between"/>
        <c:minorUnit val="1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7136897072818874"/>
          <c:y val="0.94406779661016949"/>
          <c:w val="0.71159874608150475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summer barley area / orge de printemps</a:t>
            </a:r>
          </a:p>
        </c:rich>
      </c:tx>
      <c:layout>
        <c:manualLayout>
          <c:xMode val="edge"/>
          <c:yMode val="edge"/>
          <c:x val="0.21979205577359257"/>
          <c:y val="2.02363094443702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64761774701233"/>
          <c:y val="0.11844339041484948"/>
          <c:w val="0.84172462817147842"/>
          <c:h val="0.73056364793216144"/>
        </c:manualLayout>
      </c:layout>
      <c:lineChart>
        <c:grouping val="standard"/>
        <c:varyColors val="0"/>
        <c:ser>
          <c:idx val="1"/>
          <c:order val="0"/>
          <c:tx>
            <c:strRef>
              <c:f>données!$A$28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données!$U$27:$AB$27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données!$U$28:$AA$28</c:f>
              <c:numCache>
                <c:formatCode>#,##0</c:formatCode>
                <c:ptCount val="7"/>
                <c:pt idx="0">
                  <c:v>7759</c:v>
                </c:pt>
                <c:pt idx="1">
                  <c:v>8111</c:v>
                </c:pt>
                <c:pt idx="2">
                  <c:v>10014</c:v>
                </c:pt>
                <c:pt idx="3">
                  <c:v>9728</c:v>
                </c:pt>
                <c:pt idx="4">
                  <c:v>9168</c:v>
                </c:pt>
                <c:pt idx="5">
                  <c:v>7984</c:v>
                </c:pt>
                <c:pt idx="6">
                  <c:v>9111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05-4A94-92EC-9C9B1ED9627C}"/>
            </c:ext>
          </c:extLst>
        </c:ser>
        <c:ser>
          <c:idx val="2"/>
          <c:order val="1"/>
          <c:tx>
            <c:strRef>
              <c:f>données!$A$29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données!$U$27:$AB$27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données!$U$29:$AA$29</c:f>
              <c:numCache>
                <c:formatCode>#,##0</c:formatCode>
                <c:ptCount val="7"/>
                <c:pt idx="0">
                  <c:v>24702</c:v>
                </c:pt>
                <c:pt idx="1">
                  <c:v>25067</c:v>
                </c:pt>
                <c:pt idx="2">
                  <c:v>27992</c:v>
                </c:pt>
                <c:pt idx="3">
                  <c:v>24927</c:v>
                </c:pt>
                <c:pt idx="4">
                  <c:v>25200</c:v>
                </c:pt>
                <c:pt idx="5">
                  <c:v>24798</c:v>
                </c:pt>
                <c:pt idx="6">
                  <c:v>24138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F05-4A94-92EC-9C9B1ED9627C}"/>
            </c:ext>
          </c:extLst>
        </c:ser>
        <c:ser>
          <c:idx val="3"/>
          <c:order val="2"/>
          <c:tx>
            <c:strRef>
              <c:f>données!$A$30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4.1758243444421587E-3"/>
                  <c:y val="2.2578729094896974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données!$U$27:$AB$27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données!$U$30:$AA$30</c:f>
              <c:numCache>
                <c:formatCode>#,##0</c:formatCode>
                <c:ptCount val="7"/>
                <c:pt idx="0">
                  <c:v>12404</c:v>
                </c:pt>
                <c:pt idx="1">
                  <c:v>12550</c:v>
                </c:pt>
                <c:pt idx="2">
                  <c:v>11780</c:v>
                </c:pt>
                <c:pt idx="3">
                  <c:v>13139</c:v>
                </c:pt>
                <c:pt idx="4">
                  <c:v>13373</c:v>
                </c:pt>
                <c:pt idx="5">
                  <c:v>12720</c:v>
                </c:pt>
                <c:pt idx="6">
                  <c:v>12299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F05-4A94-92EC-9C9B1ED9627C}"/>
            </c:ext>
          </c:extLst>
        </c:ser>
        <c:ser>
          <c:idx val="5"/>
          <c:order val="3"/>
          <c:tx>
            <c:strRef>
              <c:f>données!$A$31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6.9597072407369311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données!$U$27:$AB$27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données!$U$31:$AA$31</c:f>
              <c:numCache>
                <c:formatCode>#,##0</c:formatCode>
                <c:ptCount val="7"/>
                <c:pt idx="0">
                  <c:v>12884</c:v>
                </c:pt>
                <c:pt idx="1">
                  <c:v>12716</c:v>
                </c:pt>
                <c:pt idx="2">
                  <c:v>14881</c:v>
                </c:pt>
                <c:pt idx="3">
                  <c:v>13161</c:v>
                </c:pt>
                <c:pt idx="4">
                  <c:v>13083</c:v>
                </c:pt>
                <c:pt idx="5">
                  <c:v>12889</c:v>
                </c:pt>
                <c:pt idx="6">
                  <c:v>13419.310000000001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F05-4A94-92EC-9C9B1ED9627C}"/>
            </c:ext>
          </c:extLst>
        </c:ser>
        <c:ser>
          <c:idx val="6"/>
          <c:order val="4"/>
          <c:tx>
            <c:strRef>
              <c:f>données!$A$32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1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05-4A94-92EC-9C9B1ED9627C}"/>
              </c:ext>
            </c:extLst>
          </c:dPt>
          <c:dPt>
            <c:idx val="2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05-4A94-92EC-9C9B1ED9627C}"/>
              </c:ext>
            </c:extLst>
          </c:dPt>
          <c:dPt>
            <c:idx val="3"/>
            <c:bubble3D val="0"/>
            <c:spPr>
              <a:ln w="25400">
                <a:solidFill>
                  <a:srgbClr val="008000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05-4A94-92EC-9C9B1ED9627C}"/>
              </c:ext>
            </c:extLst>
          </c:dPt>
          <c:dPt>
            <c:idx val="4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5F05-4A94-92EC-9C9B1ED9627C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5F05-4A94-92EC-9C9B1ED9627C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5F05-4A94-92EC-9C9B1ED9627C}"/>
              </c:ext>
            </c:extLst>
          </c:dPt>
          <c:dLbls>
            <c:dLbl>
              <c:idx val="4"/>
              <c:layout>
                <c:manualLayout>
                  <c:x val="-4.1758243444421587E-3"/>
                  <c:y val="-3.3868093642345463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F05-4A94-92EC-9C9B1ED9627C}"/>
                </c:ext>
              </c:extLst>
            </c:dLbl>
            <c:dLbl>
              <c:idx val="5"/>
              <c:layout>
                <c:manualLayout>
                  <c:x val="-8.3516486888843174E-3"/>
                  <c:y val="-2.935234782336607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F05-4A94-92EC-9C9B1ED9627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données!$U$27:$AB$27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données!$U$32:$AB$32</c:f>
              <c:numCache>
                <c:formatCode>#,##0</c:formatCode>
                <c:ptCount val="8"/>
                <c:pt idx="0">
                  <c:v>17934</c:v>
                </c:pt>
                <c:pt idx="1">
                  <c:v>20248.759999999995</c:v>
                </c:pt>
                <c:pt idx="2">
                  <c:v>21898.459999999988</c:v>
                </c:pt>
                <c:pt idx="3">
                  <c:v>21454</c:v>
                </c:pt>
                <c:pt idx="4">
                  <c:v>23333</c:v>
                </c:pt>
                <c:pt idx="5">
                  <c:v>19744.05999999999</c:v>
                </c:pt>
                <c:pt idx="6">
                  <c:v>17250.620000000006</c:v>
                </c:pt>
                <c:pt idx="7">
                  <c:v>5163.5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5F05-4A94-92EC-9C9B1ED96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818432"/>
        <c:axId val="309020352"/>
      </c:lineChart>
      <c:catAx>
        <c:axId val="308818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020352"/>
        <c:crosses val="autoZero"/>
        <c:auto val="1"/>
        <c:lblAlgn val="ctr"/>
        <c:lblOffset val="500"/>
        <c:tickLblSkip val="1"/>
        <c:tickMarkSkip val="1"/>
        <c:noMultiLvlLbl val="0"/>
      </c:catAx>
      <c:valAx>
        <c:axId val="309020352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8900000" scaled="0"/>
                <a:tileRect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890383024155878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8818432"/>
        <c:crosses val="autoZero"/>
        <c:crossBetween val="between"/>
        <c:minorUnit val="2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53814002089865"/>
          <c:y val="0.94067796610169496"/>
          <c:w val="0.84848473878069308"/>
          <c:h val="4.06779661016949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8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tritical area / triticale</a:t>
            </a:r>
          </a:p>
        </c:rich>
      </c:tx>
      <c:layout>
        <c:manualLayout>
          <c:xMode val="edge"/>
          <c:yMode val="edge"/>
          <c:x val="0.34446753132893881"/>
          <c:y val="1.8612521150592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88757655293089E-2"/>
          <c:y val="0.11955099718082308"/>
          <c:w val="0.89006025809273837"/>
          <c:h val="0.7203500999674261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données!$A$36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rgbClr val="6633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cat>
            <c:strRef>
              <c:f>données!$U$35:$AB$35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données!$U$36:$AB$36</c:f>
              <c:numCache>
                <c:formatCode>#,##0</c:formatCode>
                <c:ptCount val="8"/>
                <c:pt idx="0">
                  <c:v>170</c:v>
                </c:pt>
                <c:pt idx="1">
                  <c:v>227</c:v>
                </c:pt>
                <c:pt idx="2">
                  <c:v>176</c:v>
                </c:pt>
                <c:pt idx="3">
                  <c:v>287</c:v>
                </c:pt>
                <c:pt idx="4">
                  <c:v>319</c:v>
                </c:pt>
                <c:pt idx="5">
                  <c:v>254</c:v>
                </c:pt>
                <c:pt idx="6">
                  <c:v>279</c:v>
                </c:pt>
                <c:pt idx="7">
                  <c:v>280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8FF-485F-80CB-126DCEB15915}"/>
            </c:ext>
          </c:extLst>
        </c:ser>
        <c:ser>
          <c:idx val="1"/>
          <c:order val="1"/>
          <c:tx>
            <c:strRef>
              <c:f>données!$A$37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données!$U$35:$AB$35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données!$U$37:$AA$37</c:f>
              <c:numCache>
                <c:formatCode>#,##0</c:formatCode>
                <c:ptCount val="7"/>
                <c:pt idx="0">
                  <c:v>10301</c:v>
                </c:pt>
                <c:pt idx="1">
                  <c:v>11041</c:v>
                </c:pt>
                <c:pt idx="2">
                  <c:v>10947</c:v>
                </c:pt>
                <c:pt idx="3">
                  <c:v>11426</c:v>
                </c:pt>
                <c:pt idx="4">
                  <c:v>10540</c:v>
                </c:pt>
                <c:pt idx="5">
                  <c:v>9735</c:v>
                </c:pt>
                <c:pt idx="6">
                  <c:v>9600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88FF-485F-80CB-126DCEB15915}"/>
            </c:ext>
          </c:extLst>
        </c:ser>
        <c:ser>
          <c:idx val="2"/>
          <c:order val="2"/>
          <c:tx>
            <c:strRef>
              <c:f>données!$A$38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cat>
            <c:strRef>
              <c:f>données!$U$35:$AB$35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données!$U$38:$AA$38</c:f>
              <c:numCache>
                <c:formatCode>#,##0</c:formatCode>
                <c:ptCount val="7"/>
                <c:pt idx="0">
                  <c:v>273</c:v>
                </c:pt>
                <c:pt idx="1">
                  <c:v>270</c:v>
                </c:pt>
                <c:pt idx="2">
                  <c:v>222</c:v>
                </c:pt>
                <c:pt idx="3">
                  <c:v>399</c:v>
                </c:pt>
                <c:pt idx="4">
                  <c:v>299</c:v>
                </c:pt>
                <c:pt idx="5">
                  <c:v>229</c:v>
                </c:pt>
                <c:pt idx="6">
                  <c:v>205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8FF-485F-80CB-126DCEB15915}"/>
            </c:ext>
          </c:extLst>
        </c:ser>
        <c:ser>
          <c:idx val="3"/>
          <c:order val="3"/>
          <c:tx>
            <c:strRef>
              <c:f>données!$A$39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layout>
                <c:manualLayout>
                  <c:x val="-1.0206330715406424E-16"/>
                  <c:y val="-2.4816694867456288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données!$U$35:$AB$35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données!$U$39:$AB$39</c:f>
              <c:numCache>
                <c:formatCode>#,##0</c:formatCode>
                <c:ptCount val="8"/>
                <c:pt idx="0">
                  <c:v>8035</c:v>
                </c:pt>
                <c:pt idx="1">
                  <c:v>7093</c:v>
                </c:pt>
                <c:pt idx="2">
                  <c:v>7067</c:v>
                </c:pt>
                <c:pt idx="3">
                  <c:v>6923</c:v>
                </c:pt>
                <c:pt idx="4">
                  <c:v>7089</c:v>
                </c:pt>
                <c:pt idx="5">
                  <c:v>8082</c:v>
                </c:pt>
                <c:pt idx="6">
                  <c:v>7335</c:v>
                </c:pt>
                <c:pt idx="7">
                  <c:v>7536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88FF-485F-80CB-126DCEB15915}"/>
            </c:ext>
          </c:extLst>
        </c:ser>
        <c:ser>
          <c:idx val="5"/>
          <c:order val="4"/>
          <c:tx>
            <c:strRef>
              <c:f>données!$A$40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données!$U$35:$AB$35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données!$U$40:$AA$40</c:f>
              <c:numCache>
                <c:formatCode>#,##0</c:formatCode>
                <c:ptCount val="7"/>
                <c:pt idx="0">
                  <c:v>1412</c:v>
                </c:pt>
                <c:pt idx="1">
                  <c:v>1143.7</c:v>
                </c:pt>
                <c:pt idx="2">
                  <c:v>1179</c:v>
                </c:pt>
                <c:pt idx="3">
                  <c:v>1588</c:v>
                </c:pt>
                <c:pt idx="4">
                  <c:v>1421</c:v>
                </c:pt>
                <c:pt idx="5">
                  <c:v>1687</c:v>
                </c:pt>
                <c:pt idx="6">
                  <c:v>1172.9000000000001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8FF-485F-80CB-126DCEB15915}"/>
            </c:ext>
          </c:extLst>
        </c:ser>
        <c:ser>
          <c:idx val="7"/>
          <c:order val="5"/>
          <c:tx>
            <c:strRef>
              <c:f>données!$A$42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25400">
              <a:solidFill>
                <a:srgbClr val="008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88FF-485F-80CB-126DCEB15915}"/>
              </c:ext>
            </c:extLst>
          </c:dPt>
          <c:dLbls>
            <c:dLbl>
              <c:idx val="5"/>
              <c:layout>
                <c:manualLayout>
                  <c:x val="-1.8093249826026444E-2"/>
                  <c:y val="-3.835307388606881E-2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8FF-485F-80CB-126DCEB1591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données!$U$35:$AB$35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données!$U$42:$AB$42</c:f>
              <c:numCache>
                <c:formatCode>#,##0</c:formatCode>
                <c:ptCount val="8"/>
                <c:pt idx="0">
                  <c:v>494</c:v>
                </c:pt>
                <c:pt idx="1">
                  <c:v>240</c:v>
                </c:pt>
                <c:pt idx="2">
                  <c:v>244</c:v>
                </c:pt>
                <c:pt idx="3">
                  <c:v>681</c:v>
                </c:pt>
                <c:pt idx="4">
                  <c:v>1164</c:v>
                </c:pt>
                <c:pt idx="5">
                  <c:v>1187.7</c:v>
                </c:pt>
                <c:pt idx="6">
                  <c:v>795.4</c:v>
                </c:pt>
                <c:pt idx="7">
                  <c:v>340.9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88FF-485F-80CB-126DCEB15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112832"/>
        <c:axId val="309021504"/>
      </c:lineChart>
      <c:catAx>
        <c:axId val="30911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021504"/>
        <c:crosses val="autoZero"/>
        <c:auto val="1"/>
        <c:lblAlgn val="ctr"/>
        <c:lblOffset val="1000"/>
        <c:tickLblSkip val="1"/>
        <c:tickMarkSkip val="1"/>
        <c:noMultiLvlLbl val="0"/>
      </c:catAx>
      <c:valAx>
        <c:axId val="309021504"/>
        <c:scaling>
          <c:orientation val="minMax"/>
          <c:min val="-1000"/>
        </c:scaling>
        <c:delete val="0"/>
        <c:axPos val="l"/>
        <c:majorGridlines>
          <c:spPr>
            <a:ln w="3175"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720810406313424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112832"/>
        <c:crosses val="autoZero"/>
        <c:crossBetween val="between"/>
        <c:min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egendEntry>
        <c:idx val="6"/>
        <c:delete val="1"/>
      </c:legendEntry>
      <c:layout>
        <c:manualLayout>
          <c:xMode val="edge"/>
          <c:yMode val="edge"/>
          <c:x val="7.9331941544885182E-2"/>
          <c:y val="0.92893401015228427"/>
          <c:w val="0.88100208768267219"/>
          <c:h val="4.0609137055837574E-2"/>
        </c:manualLayout>
      </c:layout>
      <c:overlay val="0"/>
      <c:spPr>
        <a:solidFill>
          <a:srgbClr val="FFFFFF"/>
        </a:solidFill>
        <a:ln w="3175">
          <a:solidFill>
            <a:srgbClr val="006666"/>
          </a:solidFill>
          <a:prstDash val="solid"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rye area / seigle</a:t>
            </a:r>
          </a:p>
        </c:rich>
      </c:tx>
      <c:layout>
        <c:manualLayout>
          <c:xMode val="edge"/>
          <c:yMode val="edge"/>
          <c:x val="0.38517734343749827"/>
          <c:y val="1.8612521150592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89352818371608E-2"/>
          <c:y val="0.13874788494077833"/>
          <c:w val="0.89043143044619422"/>
          <c:h val="0.70570618949212016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données!$A$46</c:f>
              <c:strCache>
                <c:ptCount val="1"/>
                <c:pt idx="0">
                  <c:v>Belgium</c:v>
                </c:pt>
              </c:strCache>
            </c:strRef>
          </c:tx>
          <c:spPr>
            <a:ln w="38100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3366FF"/>
              </a:solidFill>
              <a:ln w="9525">
                <a:noFill/>
              </a:ln>
            </c:spPr>
          </c:marker>
          <c:cat>
            <c:strRef>
              <c:f>données!$U$45:$AB$45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données!$U$46:$AB$46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44</c:v>
                </c:pt>
                <c:pt idx="3">
                  <c:v>21</c:v>
                </c:pt>
                <c:pt idx="4">
                  <c:v>0</c:v>
                </c:pt>
                <c:pt idx="5">
                  <c:v>35</c:v>
                </c:pt>
                <c:pt idx="6">
                  <c:v>39</c:v>
                </c:pt>
                <c:pt idx="7">
                  <c:v>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78-4E9F-A565-6BB4F3A08882}"/>
            </c:ext>
          </c:extLst>
        </c:ser>
        <c:ser>
          <c:idx val="1"/>
          <c:order val="1"/>
          <c:tx>
            <c:strRef>
              <c:f>données!$A$47</c:f>
              <c:strCache>
                <c:ptCount val="1"/>
                <c:pt idx="0">
                  <c:v>Germany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96969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données!$U$45:$AB$45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données!$U$47:$AA$47</c:f>
              <c:numCache>
                <c:formatCode>#,##0</c:formatCode>
                <c:ptCount val="7"/>
                <c:pt idx="0">
                  <c:v>9263</c:v>
                </c:pt>
                <c:pt idx="1">
                  <c:v>9577</c:v>
                </c:pt>
                <c:pt idx="2">
                  <c:v>10566</c:v>
                </c:pt>
                <c:pt idx="3">
                  <c:v>12306</c:v>
                </c:pt>
                <c:pt idx="4">
                  <c:v>12755</c:v>
                </c:pt>
                <c:pt idx="5">
                  <c:v>12943</c:v>
                </c:pt>
                <c:pt idx="6">
                  <c:v>14761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78-4E9F-A565-6BB4F3A08882}"/>
            </c:ext>
          </c:extLst>
        </c:ser>
        <c:ser>
          <c:idx val="2"/>
          <c:order val="2"/>
          <c:tx>
            <c:strRef>
              <c:f>données!$A$48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78-4E9F-A565-6BB4F3A0888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78-4E9F-A565-6BB4F3A0888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78-4E9F-A565-6BB4F3A0888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78-4E9F-A565-6BB4F3A0888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78-4E9F-A565-6BB4F3A0888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78-4E9F-A565-6BB4F3A0888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878-4E9F-A565-6BB4F3A08882}"/>
                </c:ext>
              </c:extLst>
            </c:dLbl>
            <c:dLbl>
              <c:idx val="7"/>
              <c:layout>
                <c:manualLayout>
                  <c:x val="-2.2131080170302304E-2"/>
                  <c:y val="3.715664983501428E-2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878-4E9F-A565-6BB4F3A088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données!$U$45:$AB$45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données!$U$48:$AA$48</c:f>
              <c:numCache>
                <c:formatCode>#,##0</c:formatCode>
                <c:ptCount val="7"/>
                <c:pt idx="0">
                  <c:v>1756</c:v>
                </c:pt>
                <c:pt idx="1">
                  <c:v>1755</c:v>
                </c:pt>
                <c:pt idx="2">
                  <c:v>2142</c:v>
                </c:pt>
                <c:pt idx="3">
                  <c:v>3573</c:v>
                </c:pt>
                <c:pt idx="4">
                  <c:v>3850</c:v>
                </c:pt>
                <c:pt idx="5">
                  <c:v>2518</c:v>
                </c:pt>
                <c:pt idx="6">
                  <c:v>2463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C878-4E9F-A565-6BB4F3A08882}"/>
            </c:ext>
          </c:extLst>
        </c:ser>
        <c:ser>
          <c:idx val="3"/>
          <c:order val="3"/>
          <c:tx>
            <c:strRef>
              <c:f>données!$A$49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données!$U$45:$AB$45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données!$U$49:$AB$49</c:f>
              <c:numCache>
                <c:formatCode>#,##0</c:formatCode>
                <c:ptCount val="8"/>
                <c:pt idx="0">
                  <c:v>1945</c:v>
                </c:pt>
                <c:pt idx="1">
                  <c:v>1874</c:v>
                </c:pt>
                <c:pt idx="2">
                  <c:v>1524</c:v>
                </c:pt>
                <c:pt idx="3">
                  <c:v>2295</c:v>
                </c:pt>
                <c:pt idx="4">
                  <c:v>2873</c:v>
                </c:pt>
                <c:pt idx="5">
                  <c:v>3170</c:v>
                </c:pt>
                <c:pt idx="6">
                  <c:v>2364</c:v>
                </c:pt>
                <c:pt idx="7">
                  <c:v>2136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C878-4E9F-A565-6BB4F3A08882}"/>
            </c:ext>
          </c:extLst>
        </c:ser>
        <c:ser>
          <c:idx val="5"/>
          <c:order val="4"/>
          <c:tx>
            <c:strRef>
              <c:f>données!$A$50</c:f>
              <c:strCache>
                <c:ptCount val="1"/>
                <c:pt idx="0">
                  <c:v>Sweden</c:v>
                </c:pt>
              </c:strCache>
            </c:strRef>
          </c:tx>
          <c:spPr>
            <a:ln w="38100">
              <a:solidFill>
                <a:srgbClr val="80000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878-4E9F-A565-6BB4F3A0888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878-4E9F-A565-6BB4F3A0888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878-4E9F-A565-6BB4F3A08882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878-4E9F-A565-6BB4F3A0888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878-4E9F-A565-6BB4F3A0888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878-4E9F-A565-6BB4F3A0888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878-4E9F-A565-6BB4F3A08882}"/>
                </c:ext>
              </c:extLst>
            </c:dLbl>
            <c:dLbl>
              <c:idx val="7"/>
              <c:layout>
                <c:manualLayout>
                  <c:x val="-0.27055150884495316"/>
                  <c:y val="0.13243546576879911"/>
                </c:manualLayout>
              </c:layout>
              <c:spPr/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9966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878-4E9F-A565-6BB4F3A088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données!$U$45:$AB$45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données!$U$50:$AA$50</c:f>
              <c:numCache>
                <c:formatCode>#,##0</c:formatCode>
                <c:ptCount val="7"/>
                <c:pt idx="0">
                  <c:v>132</c:v>
                </c:pt>
                <c:pt idx="1">
                  <c:v>202.7</c:v>
                </c:pt>
                <c:pt idx="2">
                  <c:v>279</c:v>
                </c:pt>
                <c:pt idx="3">
                  <c:v>441</c:v>
                </c:pt>
                <c:pt idx="4">
                  <c:v>459</c:v>
                </c:pt>
                <c:pt idx="5">
                  <c:v>423</c:v>
                </c:pt>
                <c:pt idx="6">
                  <c:v>345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C878-4E9F-A565-6BB4F3A08882}"/>
            </c:ext>
          </c:extLst>
        </c:ser>
        <c:ser>
          <c:idx val="6"/>
          <c:order val="5"/>
          <c:tx>
            <c:strRef>
              <c:f>données!$A$51</c:f>
              <c:strCache>
                <c:ptCount val="1"/>
                <c:pt idx="0">
                  <c:v>Finland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square"/>
            <c:size val="4"/>
            <c:spPr>
              <a:solidFill>
                <a:srgbClr val="000080"/>
              </a:solidFill>
              <a:ln w="9525">
                <a:noFill/>
              </a:ln>
            </c:spPr>
          </c:marker>
          <c:cat>
            <c:strRef>
              <c:f>données!$U$45:$AB$45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données!$U$51:$AB$51</c:f>
              <c:numCache>
                <c:formatCode>#,##0</c:formatCode>
                <c:ptCount val="8"/>
                <c:pt idx="0">
                  <c:v>423</c:v>
                </c:pt>
                <c:pt idx="1">
                  <c:v>528</c:v>
                </c:pt>
                <c:pt idx="2">
                  <c:v>190</c:v>
                </c:pt>
                <c:pt idx="3">
                  <c:v>625</c:v>
                </c:pt>
                <c:pt idx="4">
                  <c:v>364</c:v>
                </c:pt>
                <c:pt idx="5">
                  <c:v>389</c:v>
                </c:pt>
                <c:pt idx="6">
                  <c:v>293</c:v>
                </c:pt>
                <c:pt idx="7">
                  <c:v>427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C878-4E9F-A565-6BB4F3A08882}"/>
            </c:ext>
          </c:extLst>
        </c:ser>
        <c:ser>
          <c:idx val="7"/>
          <c:order val="6"/>
          <c:tx>
            <c:strRef>
              <c:f>données!$A$52</c:f>
              <c:strCache>
                <c:ptCount val="1"/>
                <c:pt idx="0">
                  <c:v>United-Kingdom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triangle"/>
            <c:size val="6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5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C878-4E9F-A565-6BB4F3A0888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données!$U$45:$AB$45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données!$U$52:$AB$52</c:f>
              <c:numCache>
                <c:formatCode>#,##0</c:formatCode>
                <c:ptCount val="8"/>
                <c:pt idx="0">
                  <c:v>456.7</c:v>
                </c:pt>
                <c:pt idx="1">
                  <c:v>629.1</c:v>
                </c:pt>
                <c:pt idx="2">
                  <c:v>683.80000000000018</c:v>
                </c:pt>
                <c:pt idx="3">
                  <c:v>762</c:v>
                </c:pt>
                <c:pt idx="4">
                  <c:v>956</c:v>
                </c:pt>
                <c:pt idx="5">
                  <c:v>1210.0999999999999</c:v>
                </c:pt>
                <c:pt idx="6">
                  <c:v>1291.7</c:v>
                </c:pt>
                <c:pt idx="7">
                  <c:v>1184.2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C878-4E9F-A565-6BB4F3A08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9432832"/>
        <c:axId val="309023808"/>
      </c:lineChart>
      <c:catAx>
        <c:axId val="309432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023808"/>
        <c:crosses val="autoZero"/>
        <c:auto val="1"/>
        <c:lblAlgn val="ctr"/>
        <c:lblOffset val="800"/>
        <c:tickLblSkip val="1"/>
        <c:tickMarkSkip val="1"/>
        <c:noMultiLvlLbl val="0"/>
      </c:catAx>
      <c:valAx>
        <c:axId val="309023808"/>
        <c:scaling>
          <c:orientation val="minMax"/>
          <c:min val="-100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3500000" scaled="1"/>
                <a:tileRect/>
              </a:gra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0"/>
              <c:y val="0.483925549915397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 w="3175">
            <a:gradFill flip="none" rotWithShape="1">
              <a:gsLst>
                <a:gs pos="0">
                  <a:srgbClr val="D6B19C"/>
                </a:gs>
                <a:gs pos="30000">
                  <a:srgbClr val="D49E6C"/>
                </a:gs>
                <a:gs pos="70000">
                  <a:srgbClr val="A65528"/>
                </a:gs>
                <a:gs pos="100000">
                  <a:srgbClr val="663012"/>
                </a:gs>
              </a:gsLst>
              <a:lin ang="16200000" scaled="1"/>
              <a:tileRect/>
            </a:gra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432832"/>
        <c:crosses val="autoZero"/>
        <c:crossBetween val="between"/>
        <c:minorUnit val="10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7.2025052192066799E-2"/>
          <c:y val="0.94077834179357023"/>
          <c:w val="0.85908141962421714"/>
          <c:h val="4.23011844331641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4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fr-FR" sz="2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sugar beet areas / betterave</a:t>
            </a:r>
          </a:p>
        </c:rich>
      </c:tx>
      <c:layout>
        <c:manualLayout>
          <c:xMode val="edge"/>
          <c:yMode val="edge"/>
          <c:x val="0.3104167760279965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07195975503062E-2"/>
          <c:y val="0.13197963798104351"/>
          <c:w val="0.91440501043841338"/>
          <c:h val="0.7445008460236887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données!$A$56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3333CC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369-4781-AA05-B19E6591E4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données!$U$55:$AB$55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données!$U$56:$AB$56</c:f>
              <c:numCache>
                <c:formatCode>#,##0</c:formatCode>
                <c:ptCount val="8"/>
                <c:pt idx="0">
                  <c:v>5170</c:v>
                </c:pt>
                <c:pt idx="1">
                  <c:v>6632</c:v>
                </c:pt>
                <c:pt idx="2">
                  <c:v>5923</c:v>
                </c:pt>
                <c:pt idx="3">
                  <c:v>5823</c:v>
                </c:pt>
                <c:pt idx="4">
                  <c:v>5660</c:v>
                </c:pt>
                <c:pt idx="5">
                  <c:v>6178.25</c:v>
                </c:pt>
                <c:pt idx="6">
                  <c:v>5121</c:v>
                </c:pt>
                <c:pt idx="7">
                  <c:v>2020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0B-49E2-A828-E5BE95F9B807}"/>
            </c:ext>
          </c:extLst>
        </c:ser>
        <c:ser>
          <c:idx val="1"/>
          <c:order val="1"/>
          <c:tx>
            <c:strRef>
              <c:f>données!$A$57</c:f>
              <c:strCache>
                <c:ptCount val="1"/>
                <c:pt idx="0">
                  <c:v>Italie</c:v>
                </c:pt>
              </c:strCache>
            </c:strRef>
          </c:tx>
          <c:spPr>
            <a:ln w="381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 w="9525">
                <a:noFill/>
              </a:ln>
            </c:spPr>
          </c:marker>
          <c:dLbls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69-4781-AA05-B19E6591E45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données!$U$55:$AB$55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données!$U$57:$AA$57</c:f>
              <c:numCache>
                <c:formatCode>#,##0</c:formatCode>
                <c:ptCount val="7"/>
                <c:pt idx="0">
                  <c:v>4020</c:v>
                </c:pt>
                <c:pt idx="1">
                  <c:v>5559</c:v>
                </c:pt>
                <c:pt idx="2">
                  <c:v>5416</c:v>
                </c:pt>
                <c:pt idx="3">
                  <c:v>5422</c:v>
                </c:pt>
                <c:pt idx="4">
                  <c:v>6386.2</c:v>
                </c:pt>
                <c:pt idx="5">
                  <c:v>7025.91</c:v>
                </c:pt>
                <c:pt idx="6">
                  <c:v>5888.7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90B-49E2-A828-E5BE95F9B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090624"/>
        <c:axId val="309568064"/>
      </c:lineChart>
      <c:catAx>
        <c:axId val="304090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568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568064"/>
        <c:scaling>
          <c:orientation val="minMax"/>
          <c:min val="0"/>
        </c:scaling>
        <c:delete val="0"/>
        <c:axPos val="l"/>
        <c:majorGridlines>
          <c:spPr>
            <a:ln w="3175">
              <a:gradFill>
                <a:gsLst>
                  <a:gs pos="0">
                    <a:srgbClr val="FF3399"/>
                  </a:gs>
                  <a:gs pos="25000">
                    <a:srgbClr val="FF6633"/>
                  </a:gs>
                  <a:gs pos="50000">
                    <a:srgbClr val="FFFF00"/>
                  </a:gs>
                  <a:gs pos="75000">
                    <a:srgbClr val="01A78F"/>
                  </a:gs>
                  <a:gs pos="100000">
                    <a:srgbClr val="3366FF"/>
                  </a:gs>
                </a:gsLst>
                <a:lin ang="5400000" scaled="0"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1.809536307961505E-2"/>
              <c:y val="3.980677090535862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4090624"/>
        <c:crosses val="autoZero"/>
        <c:crossBetween val="between"/>
        <c:min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7304090113735788"/>
          <c:y val="0.94067791814519308"/>
          <c:w val="0.19540234033245851"/>
          <c:h val="4.067788277727302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B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0" i="0" u="none" strike="noStrike" baseline="0">
                <a:solidFill>
                  <a:srgbClr val="000000"/>
                </a:solidFill>
                <a:latin typeface="Albertus"/>
                <a:ea typeface="Albertus"/>
                <a:cs typeface="Albertus"/>
              </a:defRPr>
            </a:pPr>
            <a:r>
              <a:rPr lang="fr-FR" sz="2400" b="1"/>
              <a:t>vegetable seeds area</a:t>
            </a:r>
          </a:p>
        </c:rich>
      </c:tx>
      <c:layout>
        <c:manualLayout>
          <c:xMode val="edge"/>
          <c:yMode val="edge"/>
          <c:x val="0.30729166666666669"/>
          <c:y val="2.0236286000563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981189851268597E-2"/>
          <c:y val="0.11447481644933669"/>
          <c:w val="0.89665970772442594"/>
          <c:h val="0.74450084602368871"/>
        </c:manualLayout>
      </c:layout>
      <c:lineChart>
        <c:grouping val="standard"/>
        <c:varyColors val="0"/>
        <c:ser>
          <c:idx val="0"/>
          <c:order val="0"/>
          <c:tx>
            <c:strRef>
              <c:f>données!$A$61</c:f>
              <c:strCache>
                <c:ptCount val="1"/>
                <c:pt idx="0">
                  <c:v>France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données!$U$60:$AB$60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données!$U$61:$AB$61</c:f>
              <c:numCache>
                <c:formatCode>#,##0</c:formatCode>
                <c:ptCount val="8"/>
                <c:pt idx="0">
                  <c:v>24145</c:v>
                </c:pt>
                <c:pt idx="1">
                  <c:v>24863</c:v>
                </c:pt>
                <c:pt idx="2">
                  <c:v>25854</c:v>
                </c:pt>
                <c:pt idx="3">
                  <c:v>23773</c:v>
                </c:pt>
                <c:pt idx="4">
                  <c:v>23627</c:v>
                </c:pt>
                <c:pt idx="5">
                  <c:v>24956</c:v>
                </c:pt>
                <c:pt idx="6">
                  <c:v>24445</c:v>
                </c:pt>
                <c:pt idx="7">
                  <c:v>15796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85-4333-8848-74807AEE62E7}"/>
            </c:ext>
          </c:extLst>
        </c:ser>
        <c:ser>
          <c:idx val="1"/>
          <c:order val="1"/>
          <c:tx>
            <c:strRef>
              <c:f>données!$A$62</c:f>
              <c:strCache>
                <c:ptCount val="1"/>
                <c:pt idx="0">
                  <c:v>Italy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666699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données!$U$60:$AB$60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données!$U$62:$AA$62</c:f>
              <c:numCache>
                <c:formatCode>#,##0</c:formatCode>
                <c:ptCount val="7"/>
                <c:pt idx="0">
                  <c:v>37700</c:v>
                </c:pt>
                <c:pt idx="1">
                  <c:v>20683</c:v>
                </c:pt>
                <c:pt idx="2">
                  <c:v>19362</c:v>
                </c:pt>
                <c:pt idx="3">
                  <c:v>21236</c:v>
                </c:pt>
                <c:pt idx="4">
                  <c:v>33391</c:v>
                </c:pt>
                <c:pt idx="5">
                  <c:v>30000</c:v>
                </c:pt>
                <c:pt idx="6">
                  <c:v>36000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285-4333-8848-74807AEE62E7}"/>
            </c:ext>
          </c:extLst>
        </c:ser>
        <c:ser>
          <c:idx val="2"/>
          <c:order val="2"/>
          <c:tx>
            <c:strRef>
              <c:f>données!$A$63</c:f>
              <c:strCache>
                <c:ptCount val="1"/>
                <c:pt idx="0">
                  <c:v>Denmark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424242"/>
              </a:solidFill>
              <a:ln w="9525">
                <a:noFill/>
              </a:ln>
            </c:spPr>
          </c:marker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9285-4333-8848-74807AEE62E7}"/>
              </c:ext>
            </c:extLst>
          </c:dPt>
          <c:dLbls>
            <c:dLbl>
              <c:idx val="4"/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nl-B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285-4333-8848-74807AEE62E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données!$U$60:$AB$60</c:f>
              <c:strCach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Prev 2023</c:v>
                </c:pt>
              </c:strCache>
            </c:strRef>
          </c:cat>
          <c:val>
            <c:numRef>
              <c:f>données!$U$63:$AA$63</c:f>
              <c:numCache>
                <c:formatCode>#,##0</c:formatCode>
                <c:ptCount val="7"/>
                <c:pt idx="0">
                  <c:v>7173</c:v>
                </c:pt>
                <c:pt idx="1">
                  <c:v>10142</c:v>
                </c:pt>
                <c:pt idx="2">
                  <c:v>11792</c:v>
                </c:pt>
                <c:pt idx="3">
                  <c:v>12929</c:v>
                </c:pt>
                <c:pt idx="4">
                  <c:v>6572</c:v>
                </c:pt>
                <c:pt idx="5">
                  <c:v>6469</c:v>
                </c:pt>
                <c:pt idx="6">
                  <c:v>9010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9285-4333-8848-74807AEE62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138752"/>
        <c:axId val="309570368"/>
      </c:lineChart>
      <c:catAx>
        <c:axId val="304138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9570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09570368"/>
        <c:scaling>
          <c:orientation val="minMax"/>
          <c:min val="0"/>
        </c:scaling>
        <c:delete val="0"/>
        <c:axPos val="l"/>
        <c:majorGridlines>
          <c:spPr>
            <a:ln w="3175">
              <a:gradFill flip="none" rotWithShape="1"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16200000" scaled="0"/>
                <a:tileRect/>
              </a:gra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ha</a:t>
                </a:r>
              </a:p>
            </c:rich>
          </c:tx>
          <c:layout>
            <c:manualLayout>
              <c:xMode val="edge"/>
              <c:yMode val="edge"/>
              <c:x val="9.7435476815398072E-3"/>
              <c:y val="3.014726140889524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304138752"/>
        <c:crosses val="autoZero"/>
        <c:crossBetween val="between"/>
        <c:minorUnit val="500"/>
      </c:valAx>
      <c:spPr>
        <a:solidFill>
          <a:srgbClr val="FFFFC0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26436767279090112"/>
          <c:y val="0.94237292571569642"/>
          <c:w val="0.52560083114610667"/>
          <c:h val="3.389855985366174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5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0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115" workbookViewId="0"/>
  </sheetViews>
  <pageMargins left="0.78740157499999996" right="0.78740157499999996" top="0.984251969" bottom="0.984251969" header="0.4921259845" footer="0.4921259845"/>
  <pageSetup paperSize="9" orientation="landscape" horizontalDpi="4294967293" verticalDpi="4294967293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2" top="0.2" bottom="0.19685039370078741" header="0" footer="0"/>
  <pageSetup paperSize="9" orientation="landscape" r:id="rId1"/>
  <headerFooter alignWithMargins="0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workbookViewId="0"/>
  </sheetViews>
  <pageMargins left="0.78740157499999996" right="0.78740157499999996" top="0.984251969" bottom="0.984251969" header="0.5" footer="0.5"/>
  <headerFooter alignWithMargins="0">
    <oddHeader>&amp;A</oddHeader>
    <oddFooter>Page &amp;P</oddFooter>
  </headerFooter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theme="8" tint="0.39997558519241921"/>
  </sheetPr>
  <sheetViews>
    <sheetView zoomScale="95" workbookViewId="0"/>
  </sheetViews>
  <pageMargins left="0.78740157499999996" right="0.78740157499999996" top="0.984251969" bottom="0.984251969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7296150" cy="449580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4C94CF6F-7654-4FD8-83C6-FCD32FDB06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33686320-E82A-4E6B-9258-2894A8AAC0C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648F1957-DCF0-41CF-8B7D-5D57F94B126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0.11917</cdr:x>
      <cdr:y>0.90065</cdr:y>
    </cdr:from>
    <cdr:to>
      <cdr:x>0.17375</cdr:x>
      <cdr:y>0.93789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1088510" y="5095726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0.23057</cdr:x>
      <cdr:y>0.89955</cdr:y>
    </cdr:from>
    <cdr:to>
      <cdr:x>0.28515</cdr:x>
      <cdr:y>0.93679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108200" y="5089525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0.46936</cdr:x>
      <cdr:y>0.9046</cdr:y>
    </cdr:from>
    <cdr:to>
      <cdr:x>0.52494</cdr:x>
      <cdr:y>0.94184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4289425" y="5118100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0.58565</cdr:x>
      <cdr:y>0.90292</cdr:y>
    </cdr:from>
    <cdr:to>
      <cdr:x>0.64098</cdr:x>
      <cdr:y>0.94016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5356225" y="5108575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0.81446</cdr:x>
      <cdr:y>0.9046</cdr:y>
    </cdr:from>
    <cdr:to>
      <cdr:x>0.86954</cdr:x>
      <cdr:y>0.94184</cdr:y>
    </cdr:to>
    <cdr:sp macro="" textlink="">
      <cdr:nvSpPr>
        <cdr:cNvPr id="9" name="ZoneTexte 1"/>
        <cdr:cNvSpPr txBox="1"/>
      </cdr:nvSpPr>
      <cdr:spPr>
        <a:xfrm xmlns:a="http://schemas.openxmlformats.org/drawingml/2006/main">
          <a:off x="7423150" y="5118100"/>
          <a:ext cx="501887" cy="2106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484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DC88544D-7F35-4073-A750-0067BC223F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0.37625</cdr:x>
      <cdr:y>0.89825</cdr:y>
    </cdr:from>
    <cdr:to>
      <cdr:x>0.4305</cdr:x>
      <cdr:y>0.9485</cdr:y>
    </cdr:to>
    <cdr:sp macro="" textlink="">
      <cdr:nvSpPr>
        <cdr:cNvPr id="3380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71916" y="1883716"/>
          <a:ext cx="493776" cy="2612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484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EF197BD7-2DD7-4A0E-87C7-81B374ACD8E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0.322</cdr:x>
      <cdr:y>0.908</cdr:y>
    </cdr:from>
    <cdr:to>
      <cdr:x>0.38825</cdr:x>
      <cdr:y>0.95175</cdr:y>
    </cdr:to>
    <cdr:sp macro="" textlink="">
      <cdr:nvSpPr>
        <cdr:cNvPr id="3686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5320" y="881139"/>
          <a:ext cx="587502" cy="258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0.5065</cdr:x>
      <cdr:y>0.90625</cdr:y>
    </cdr:from>
    <cdr:to>
      <cdr:x>0.56225</cdr:x>
      <cdr:y>0.94925</cdr:y>
    </cdr:to>
    <cdr:sp macro="" textlink="">
      <cdr:nvSpPr>
        <cdr:cNvPr id="3687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4474" y="3309918"/>
          <a:ext cx="498348" cy="254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81E37D50-D963-40A9-8707-984A55C85AA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0.60726</cdr:x>
      <cdr:y>0.89247</cdr:y>
    </cdr:from>
    <cdr:to>
      <cdr:x>0.66345</cdr:x>
      <cdr:y>0.94736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5556250" y="5137150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0.46599</cdr:x>
      <cdr:y>0.89634</cdr:y>
    </cdr:from>
    <cdr:to>
      <cdr:x>0.52193</cdr:x>
      <cdr:y>0.95122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4260850" y="5156200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484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418AF9A5-1642-47C2-8925-BD586916B4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484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5A9D3604-2317-44CD-B884-395363C4A1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0.9035</cdr:x>
      <cdr:y>0.1845</cdr:y>
    </cdr:from>
    <cdr:to>
      <cdr:x>0.95925</cdr:x>
      <cdr:y>0.229</cdr:y>
    </cdr:to>
    <cdr:sp macro="" textlink="">
      <cdr:nvSpPr>
        <cdr:cNvPr id="4301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75320" y="824655"/>
          <a:ext cx="500634" cy="258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2DFCE45D-F233-4477-B7AD-53196F39B2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0.01256</cdr:x>
      <cdr:y>0.88662</cdr:y>
    </cdr:from>
    <cdr:to>
      <cdr:x>0.06906</cdr:x>
      <cdr:y>0.92787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0312" y="5063195"/>
          <a:ext cx="514350" cy="2162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0.22585</cdr:x>
      <cdr:y>0.89448</cdr:y>
    </cdr:from>
    <cdr:to>
      <cdr:x>0.28397</cdr:x>
      <cdr:y>0.93851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056063" y="5103395"/>
          <a:ext cx="531395" cy="230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0.67238</cdr:x>
      <cdr:y>0.89246</cdr:y>
    </cdr:from>
    <cdr:to>
      <cdr:x>0.72974</cdr:x>
      <cdr:y>0.93863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6136784" y="5093374"/>
          <a:ext cx="531358" cy="2412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0.13419</cdr:x>
      <cdr:y>0.88511</cdr:y>
    </cdr:from>
    <cdr:to>
      <cdr:x>0.18901</cdr:x>
      <cdr:y>0.92608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1213333" y="5057460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0.26898</cdr:x>
      <cdr:y>0.88738</cdr:y>
    </cdr:from>
    <cdr:to>
      <cdr:x>0.3238</cdr:x>
      <cdr:y>0.92786</cdr:y>
    </cdr:to>
    <cdr:sp macro="" textlink="">
      <cdr:nvSpPr>
        <cdr:cNvPr id="10" name="ZoneTexte 1"/>
        <cdr:cNvSpPr txBox="1"/>
      </cdr:nvSpPr>
      <cdr:spPr>
        <a:xfrm xmlns:a="http://schemas.openxmlformats.org/drawingml/2006/main">
          <a:off x="2448093" y="5067469"/>
          <a:ext cx="501274" cy="210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0.54803</cdr:x>
      <cdr:y>0.88729</cdr:y>
    </cdr:from>
    <cdr:to>
      <cdr:x>0.6036</cdr:x>
      <cdr:y>0.92776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5004313" y="5066985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E5FDDF38-1CF3-4DC9-B7B2-92876917490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0.14574</cdr:x>
      <cdr:y>0.9028</cdr:y>
    </cdr:from>
    <cdr:to>
      <cdr:x>0.19777</cdr:x>
      <cdr:y>0.95722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323473" y="5133474"/>
          <a:ext cx="471237" cy="2907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0.30809</cdr:x>
      <cdr:y>0.90849</cdr:y>
    </cdr:from>
    <cdr:to>
      <cdr:x>0.36434</cdr:x>
      <cdr:y>0.95815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808037" y="5164221"/>
          <a:ext cx="5143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7AAA10C3-3ABA-4379-8C85-CF0C51282B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9FB4C305-5E42-4129-A3B3-940AE9A97E2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4F5995FC-2A5E-4405-8AD9-1F26EEADD22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0.8985</cdr:x>
      <cdr:y>0.03125</cdr:y>
    </cdr:from>
    <cdr:to>
      <cdr:x>0.979</cdr:x>
      <cdr:y>0.10475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4172" y="152505"/>
          <a:ext cx="724662" cy="3586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C0CEB53-6751-4D1C-816F-D47F99BBC2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0.72821</cdr:x>
      <cdr:y>0.5504</cdr:y>
    </cdr:from>
    <cdr:to>
      <cdr:x>0.7762</cdr:x>
      <cdr:y>0.58436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6697579" y="3108158"/>
          <a:ext cx="441158" cy="2005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0.20275</cdr:x>
      <cdr:y>0.89775</cdr:y>
    </cdr:from>
    <cdr:to>
      <cdr:x>0.251</cdr:x>
      <cdr:y>0.94725</cdr:y>
    </cdr:to>
    <cdr:sp macro="" textlink="">
      <cdr:nvSpPr>
        <cdr:cNvPr id="5642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22329" y="3896866"/>
          <a:ext cx="426591" cy="2448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0.32475</cdr:x>
      <cdr:y>0.89775</cdr:y>
    </cdr:from>
    <cdr:to>
      <cdr:x>0.38075</cdr:x>
      <cdr:y>0.9465</cdr:y>
    </cdr:to>
    <cdr:sp macro="" textlink="">
      <cdr:nvSpPr>
        <cdr:cNvPr id="56341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69046" y="790766"/>
          <a:ext cx="509778" cy="255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0.568</cdr:x>
      <cdr:y>0.89775</cdr:y>
    </cdr:from>
    <cdr:to>
      <cdr:x>0.62375</cdr:x>
      <cdr:y>0.95</cdr:y>
    </cdr:to>
    <cdr:sp macro="" textlink="">
      <cdr:nvSpPr>
        <cdr:cNvPr id="564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58454" y="3567553"/>
          <a:ext cx="504154" cy="2603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0.69656</cdr:x>
      <cdr:y>0.90671</cdr:y>
    </cdr:from>
    <cdr:to>
      <cdr:x>0.75156</cdr:x>
      <cdr:y>0.94596</cdr:y>
    </cdr:to>
    <cdr:sp macro="" textlink="">
      <cdr:nvSpPr>
        <cdr:cNvPr id="6964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1603" y="5161217"/>
          <a:ext cx="507492" cy="204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900" b="1" i="0" u="none" strike="noStrike" baseline="0">
            <a:solidFill>
              <a:srgbClr val="663300"/>
            </a:solidFill>
            <a:latin typeface="Calibri"/>
          </a:endParaRPr>
        </a:p>
      </cdr:txBody>
    </cdr:sp>
  </cdr:relSizeAnchor>
  <cdr:relSizeAnchor xmlns:cdr="http://schemas.openxmlformats.org/drawingml/2006/chartDrawing">
    <cdr:from>
      <cdr:x>0.56273</cdr:x>
      <cdr:y>0.89244</cdr:y>
    </cdr:from>
    <cdr:to>
      <cdr:x>0.62084</cdr:x>
      <cdr:y>0.93963</cdr:y>
    </cdr:to>
    <cdr:sp macro="" textlink="">
      <cdr:nvSpPr>
        <cdr:cNvPr id="15" name="ZoneTexte 1"/>
        <cdr:cNvSpPr txBox="1"/>
      </cdr:nvSpPr>
      <cdr:spPr>
        <a:xfrm xmlns:a="http://schemas.openxmlformats.org/drawingml/2006/main">
          <a:off x="5134142" y="5083342"/>
          <a:ext cx="531395" cy="2513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0.10195</cdr:x>
      <cdr:y>0.90192</cdr:y>
    </cdr:from>
    <cdr:to>
      <cdr:x>0.15677</cdr:x>
      <cdr:y>0.94139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923090" y="5134142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0.45791</cdr:x>
      <cdr:y>0.90547</cdr:y>
    </cdr:from>
    <cdr:to>
      <cdr:x>0.51273</cdr:x>
      <cdr:y>0.94544</cdr:y>
    </cdr:to>
    <cdr:sp macro="" textlink="">
      <cdr:nvSpPr>
        <cdr:cNvPr id="11" name="ZoneTexte 1"/>
        <cdr:cNvSpPr txBox="1"/>
      </cdr:nvSpPr>
      <cdr:spPr>
        <a:xfrm xmlns:a="http://schemas.openxmlformats.org/drawingml/2006/main">
          <a:off x="4191669" y="5154195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0.81038</cdr:x>
      <cdr:y>0.90167</cdr:y>
    </cdr:from>
    <cdr:to>
      <cdr:x>0.8647</cdr:x>
      <cdr:y>0.94139</cdr:y>
    </cdr:to>
    <cdr:sp macro="" textlink="">
      <cdr:nvSpPr>
        <cdr:cNvPr id="12" name="ZoneTexte 1"/>
        <cdr:cNvSpPr txBox="1"/>
      </cdr:nvSpPr>
      <cdr:spPr>
        <a:xfrm xmlns:a="http://schemas.openxmlformats.org/drawingml/2006/main">
          <a:off x="7410115" y="5134142"/>
          <a:ext cx="501274" cy="210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397C1505-65BA-4ADD-A4E1-7B7F6630C2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2D63D5A5-580E-49F1-938E-AD3279C0D2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0.78175</cdr:x>
      <cdr:y>0.23875</cdr:y>
    </cdr:from>
    <cdr:to>
      <cdr:x>0.86075</cdr:x>
      <cdr:y>0.301</cdr:y>
    </cdr:to>
    <cdr:sp macro="" textlink="">
      <cdr:nvSpPr>
        <cdr:cNvPr id="58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62038" y="1258164"/>
          <a:ext cx="720090" cy="357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98620F03-3A87-4290-84D2-9002D9BFF94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0.84375</cdr:x>
      <cdr:y>0.81625</cdr:y>
    </cdr:from>
    <cdr:to>
      <cdr:x>0.9235</cdr:x>
      <cdr:y>0.889</cdr:y>
    </cdr:to>
    <cdr:sp macro="" textlink="">
      <cdr:nvSpPr>
        <cdr:cNvPr id="60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90104" y="4532781"/>
          <a:ext cx="729234" cy="362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0.85546</cdr:x>
      <cdr:y>0.87239</cdr:y>
    </cdr:from>
    <cdr:to>
      <cdr:x>0.91333</cdr:x>
      <cdr:y>0.91853</cdr:y>
    </cdr:to>
    <cdr:sp macro="" textlink="">
      <cdr:nvSpPr>
        <cdr:cNvPr id="8" name="ZoneTexte 1"/>
        <cdr:cNvSpPr txBox="1"/>
      </cdr:nvSpPr>
      <cdr:spPr>
        <a:xfrm xmlns:a="http://schemas.openxmlformats.org/drawingml/2006/main">
          <a:off x="7796012" y="4984313"/>
          <a:ext cx="528003" cy="231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A8F5DE5D-80D5-413C-AA69-A02F4CE189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C2E4A5C2-A1F0-4720-8644-73E334110E5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5E841FB-D87D-4B4A-BD2D-48217C9013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B989531-7F3C-4197-8109-B6CF1D3A371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484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0D7BBEAF-2A4A-413A-A265-9ACD76A9CDB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0.87275</cdr:x>
      <cdr:y>0.088</cdr:y>
    </cdr:from>
    <cdr:to>
      <cdr:x>0.95325</cdr:x>
      <cdr:y>0.153</cdr:y>
    </cdr:to>
    <cdr:sp macro="" textlink="">
      <cdr:nvSpPr>
        <cdr:cNvPr id="66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955280" y="451866"/>
          <a:ext cx="729234" cy="343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702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66F9A4B5-DFCD-4C44-B374-194E69D12E3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0.09186</cdr:x>
      <cdr:y>0.87975</cdr:y>
    </cdr:from>
    <cdr:to>
      <cdr:x>0.1374</cdr:x>
      <cdr:y>0.93318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847726" y="4972050"/>
          <a:ext cx="4191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0.09186</cdr:x>
      <cdr:y>0.87975</cdr:y>
    </cdr:from>
    <cdr:to>
      <cdr:x>0.1374</cdr:x>
      <cdr:y>0.93318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847726" y="4972050"/>
          <a:ext cx="419100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0.21916</cdr:x>
      <cdr:y>0.88151</cdr:y>
    </cdr:from>
    <cdr:to>
      <cdr:x>0.2652</cdr:x>
      <cdr:y>0.93569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2012950" y="4984750"/>
          <a:ext cx="4191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0.34601</cdr:x>
      <cdr:y>0.87981</cdr:y>
    </cdr:from>
    <cdr:to>
      <cdr:x>0.39735</cdr:x>
      <cdr:y>0.93399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3171825" y="4975225"/>
          <a:ext cx="4699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0.48062</cdr:x>
      <cdr:y>0.8823</cdr:y>
    </cdr:from>
    <cdr:to>
      <cdr:x>0.53363</cdr:x>
      <cdr:y>0.93698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4390204" y="5032938"/>
          <a:ext cx="487548" cy="2881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0.59972</cdr:x>
      <cdr:y>0.88566</cdr:y>
    </cdr:from>
    <cdr:to>
      <cdr:x>0.64551</cdr:x>
      <cdr:y>0.93934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5489575" y="5003800"/>
          <a:ext cx="419140" cy="2857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58</xdr:row>
      <xdr:rowOff>104775</xdr:rowOff>
    </xdr:from>
    <xdr:to>
      <xdr:col>4</xdr:col>
      <xdr:colOff>514350</xdr:colOff>
      <xdr:row>76</xdr:row>
      <xdr:rowOff>57150</xdr:rowOff>
    </xdr:to>
    <xdr:graphicFrame macro="">
      <xdr:nvGraphicFramePr>
        <xdr:cNvPr id="2294839" name="Graphique 3">
          <a:extLst>
            <a:ext uri="{FF2B5EF4-FFF2-40B4-BE49-F238E27FC236}">
              <a16:creationId xmlns="" xmlns:a16="http://schemas.microsoft.com/office/drawing/2014/main" id="{62DCB7ED-172D-4DA6-AC29-8E57BAD87A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904875</xdr:colOff>
      <xdr:row>80</xdr:row>
      <xdr:rowOff>66675</xdr:rowOff>
    </xdr:from>
    <xdr:to>
      <xdr:col>4</xdr:col>
      <xdr:colOff>942975</xdr:colOff>
      <xdr:row>98</xdr:row>
      <xdr:rowOff>19050</xdr:rowOff>
    </xdr:to>
    <xdr:graphicFrame macro="">
      <xdr:nvGraphicFramePr>
        <xdr:cNvPr id="2294840" name="Graphique 4">
          <a:extLst>
            <a:ext uri="{FF2B5EF4-FFF2-40B4-BE49-F238E27FC236}">
              <a16:creationId xmlns="" xmlns:a16="http://schemas.microsoft.com/office/drawing/2014/main" id="{66862837-5326-4628-A00A-C58BB6F86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absoluteAnchor>
    <xdr:pos x="0" y="0"/>
    <xdr:ext cx="8153400" cy="5648325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8690CB90-7880-4FE2-BCD1-D8852106A68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8153400" cy="5648325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40528B34-9263-4348-8D39-8308643D501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0.30054</cdr:x>
      <cdr:y>0.8893</cdr:y>
    </cdr:from>
    <cdr:to>
      <cdr:x>0.36479</cdr:x>
      <cdr:y>0.9323</cdr:y>
    </cdr:to>
    <cdr:sp macro="" textlink="">
      <cdr:nvSpPr>
        <cdr:cNvPr id="41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07" y="5068413"/>
          <a:ext cx="589788" cy="2261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36576" bIns="27432" anchor="ctr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/>
        </a:p>
      </cdr:txBody>
    </cdr:sp>
  </cdr:relSizeAnchor>
  <cdr:relSizeAnchor xmlns:cdr="http://schemas.openxmlformats.org/drawingml/2006/chartDrawing">
    <cdr:from>
      <cdr:x>0.73341</cdr:x>
      <cdr:y>0.34301</cdr:y>
    </cdr:from>
    <cdr:to>
      <cdr:x>0.81091</cdr:x>
      <cdr:y>0.40376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0280" y="1918456"/>
          <a:ext cx="708660" cy="353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0.49975</cdr:x>
      <cdr:y>0.50625</cdr:y>
    </cdr:from>
    <cdr:to>
      <cdr:x>0.51125</cdr:x>
      <cdr:y>0.555</cdr:y>
    </cdr:to>
    <cdr:sp macro="" textlink="">
      <cdr:nvSpPr>
        <cdr:cNvPr id="4208" name="Text Box 1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155" y="2836569"/>
          <a:ext cx="107106" cy="2837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36576" tIns="32004" rIns="36576" bIns="32004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endParaRPr lang="fr-FR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484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597212B8-26B4-4D6A-9CC6-9FD12C85B2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0.07375</cdr:x>
      <cdr:y>0.10125</cdr:y>
    </cdr:to>
    <cdr:sp macro="" textlink="">
      <cdr:nvSpPr>
        <cdr:cNvPr id="194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5800" cy="526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0.00987</cdr:x>
      <cdr:y>0.00929</cdr:y>
    </cdr:from>
    <cdr:to>
      <cdr:x>0.19627</cdr:x>
      <cdr:y>0.08451</cdr:y>
    </cdr:to>
    <cdr:sp macro="" textlink="">
      <cdr:nvSpPr>
        <cdr:cNvPr id="19775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39" y="46879"/>
          <a:ext cx="1695298" cy="3815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00"/>
        </a:solidFill>
        <a:ln xmlns:a="http://schemas.openxmlformats.org/drawingml/2006/main">
          <a:noFill/>
        </a:ln>
      </cdr:spPr>
      <cdr:txBody>
        <a:bodyPr xmlns:a="http://schemas.openxmlformats.org/drawingml/2006/main" vertOverflow="clip" wrap="square" lIns="36576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fr-FR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NB: pour la Belgique = hiver + printemps</a:t>
          </a:r>
          <a:endParaRPr lang="fr-FR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0.07425</cdr:x>
      <cdr:y>0.101</cdr:y>
    </cdr:to>
    <cdr:sp macro="" textlink="">
      <cdr:nvSpPr>
        <cdr:cNvPr id="19480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683514" cy="528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0.55052</cdr:x>
      <cdr:y>0.89892</cdr:y>
    </cdr:from>
    <cdr:to>
      <cdr:x>0.60559</cdr:x>
      <cdr:y>0.93965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5033921" y="5134127"/>
          <a:ext cx="501274" cy="210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  <cdr:relSizeAnchor xmlns:cdr="http://schemas.openxmlformats.org/drawingml/2006/chartDrawing">
    <cdr:from>
      <cdr:x>0.77707</cdr:x>
      <cdr:y>0.30796</cdr:y>
    </cdr:from>
    <cdr:to>
      <cdr:x>0.87111</cdr:x>
      <cdr:y>0.36852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7098632" y="1724526"/>
          <a:ext cx="862263" cy="3509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144000" cy="5654842"/>
    <xdr:graphicFrame macro="">
      <xdr:nvGraphicFramePr>
        <xdr:cNvPr id="2" name="Graphique 1">
          <a:extLst>
            <a:ext uri="{FF2B5EF4-FFF2-40B4-BE49-F238E27FC236}">
              <a16:creationId xmlns="" xmlns:a16="http://schemas.microsoft.com/office/drawing/2014/main" id="{F4538A10-8DC0-4268-BD4D-8EFEE5F1D6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0.47807</cdr:x>
      <cdr:y>0.90603</cdr:y>
    </cdr:from>
    <cdr:to>
      <cdr:x>0.53399</cdr:x>
      <cdr:y>0.93972</cdr:y>
    </cdr:to>
    <cdr:sp macro="" textlink="">
      <cdr:nvSpPr>
        <cdr:cNvPr id="8" name="ZoneTexte 7"/>
        <cdr:cNvSpPr txBox="1"/>
      </cdr:nvSpPr>
      <cdr:spPr>
        <a:xfrm xmlns:a="http://schemas.openxmlformats.org/drawingml/2006/main">
          <a:off x="4371474" y="5123448"/>
          <a:ext cx="511342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36576" tIns="27432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36576" tIns="27432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M31" sqref="M31"/>
    </sheetView>
  </sheetViews>
  <sheetFormatPr defaultColWidth="11.42578125" defaultRowHeight="12.75" x14ac:dyDescent="0.2"/>
  <cols>
    <col min="1" max="1" width="20" customWidth="1"/>
  </cols>
  <sheetData>
    <row r="1" spans="1:14" x14ac:dyDescent="0.2">
      <c r="B1" s="248">
        <v>97</v>
      </c>
      <c r="C1" s="248">
        <v>98</v>
      </c>
      <c r="D1" s="248">
        <v>99</v>
      </c>
      <c r="E1" s="249">
        <v>0</v>
      </c>
      <c r="F1" s="250">
        <v>1</v>
      </c>
      <c r="G1" s="250">
        <v>2</v>
      </c>
      <c r="H1" s="250">
        <v>3</v>
      </c>
      <c r="I1" s="250">
        <v>4</v>
      </c>
      <c r="J1" s="250">
        <v>5</v>
      </c>
      <c r="K1" s="250">
        <v>6</v>
      </c>
      <c r="L1" s="250">
        <v>7</v>
      </c>
      <c r="M1" s="250">
        <v>8</v>
      </c>
      <c r="N1" s="250">
        <v>9</v>
      </c>
    </row>
    <row r="2" spans="1:14" x14ac:dyDescent="0.2">
      <c r="A2" t="s">
        <v>0</v>
      </c>
      <c r="B2" s="23">
        <f>+Belgium!D24+Germany!D25+France!D25+Denmark!D24+Italy!D22+'Pays-Bas'!D24+Sweden!D24+Finland!D24+UK!D24</f>
        <v>74792</v>
      </c>
      <c r="C2" s="23">
        <f>+Belgium!E24+Germany!E25+France!E25+Denmark!E24+Italy!E22+'Pays-Bas'!E24+Sweden!E24+Finland!E24+UK!E24</f>
        <v>87132</v>
      </c>
      <c r="D2" s="23">
        <f>+Belgium!F24+Germany!F25+France!F25+Denmark!F24+Italy!F22+'Pays-Bas'!F24+Sweden!F24+Finland!F24+UK!F24</f>
        <v>66382</v>
      </c>
      <c r="E2" s="23">
        <f>+Belgium!G24+Germany!G25+France!G25+Denmark!G24+Italy!G22+'Pays-Bas'!G24+Sweden!G24+Finland!G24+UK!G24</f>
        <v>63010</v>
      </c>
      <c r="F2" s="23">
        <f>+Belgium!H24+Germany!H25+France!H25+Denmark!H24+Italy!H22+'Pays-Bas'!H24+Sweden!H24+Finland!H24+UK!H24</f>
        <v>60214</v>
      </c>
      <c r="G2" s="23">
        <f>+Belgium!I24+Germany!I25+France!I25+Denmark!I24+Italy!I22+'Pays-Bas'!I24+Sweden!I24+Finland!I24+UK!I24</f>
        <v>52215</v>
      </c>
      <c r="H2" s="23">
        <f>+Belgium!J24+Germany!J25+France!J25+Denmark!J24+Italy!J22+'Pays-Bas'!J24+Sweden!J24+Finland!J24+UK!J24</f>
        <v>70375.7</v>
      </c>
      <c r="I2" s="23">
        <f>+Belgium!K24+Germany!K25+France!K25+Denmark!K24+Italy!K22+'Pays-Bas'!K24+Sweden!K24+Finland!K24+UK!K24</f>
        <v>79410.7</v>
      </c>
      <c r="J2" s="23">
        <f>+Belgium!L24+Germany!L25+France!L25+Denmark!L24+Italy!L22+'Pays-Bas'!L24+Sweden!L24+Finland!L24+UK!L24</f>
        <v>82411.899999999994</v>
      </c>
      <c r="K2" s="23">
        <f>+Belgium!M24+Germany!M25+France!M25+Denmark!M24+Italy!M22+'Pays-Bas'!M24+Sweden!M24+Finland!M24+UK!M24</f>
        <v>79770.900000000009</v>
      </c>
      <c r="L2" s="23">
        <f>L3+Germany!N25</f>
        <v>66381.399999999994</v>
      </c>
      <c r="M2" s="23">
        <f>M3+Germany!O25</f>
        <v>56114</v>
      </c>
      <c r="N2" s="23">
        <f>N3+Germany!P25</f>
        <v>18393</v>
      </c>
    </row>
    <row r="3" spans="1:14" x14ac:dyDescent="0.2">
      <c r="A3" t="s">
        <v>1</v>
      </c>
      <c r="B3" s="23"/>
      <c r="C3" s="23"/>
      <c r="D3" s="23"/>
      <c r="E3" s="23"/>
      <c r="F3" s="23"/>
      <c r="G3" s="23">
        <f>Belgium!I24+Denmark!I24+France!I25+Italy!I22+'Pays-Bas'!I24+Sweden!I24+Finland!I24+UK!I24</f>
        <v>45748</v>
      </c>
      <c r="H3" s="23">
        <f>Belgium!J24+Denmark!J24+France!J25+Italy!J22+'Pays-Bas'!J24+Sweden!J24+Finland!J24+UK!J24</f>
        <v>62263.7</v>
      </c>
      <c r="I3" s="23">
        <f>Belgium!K24+Denmark!K24+France!K25+Italy!K22+'Pays-Bas'!K24+Sweden!K24+Finland!K24+UK!K24</f>
        <v>69268.7</v>
      </c>
      <c r="J3" s="23">
        <f>Belgium!L24+Denmark!L24+France!L25+Italy!L22+'Pays-Bas'!L24+Sweden!L24+Finland!L24+UK!L24</f>
        <v>72699.899999999994</v>
      </c>
      <c r="K3" s="23">
        <f>Belgium!M24+Denmark!M24+France!M25+Italy!M22+'Pays-Bas'!M24+Sweden!M24+Finland!M24+UK!M24</f>
        <v>69929.900000000009</v>
      </c>
      <c r="L3" s="23">
        <f>Belgium!N24+Denmark!N24+France!N25+Italy!N22+'Pays-Bas'!N24+Sweden!N24+Finland!N24+UK!N24</f>
        <v>56917.4</v>
      </c>
      <c r="M3" s="23">
        <f>Belgium!O24+Denmark!O24+France!O25+Italy!O22+'Pays-Bas'!O24+Sweden!O24+Finland!O24+UK!O24</f>
        <v>49187</v>
      </c>
      <c r="N3" s="23">
        <f>Belgium!O24+Denmark!O23+France!O23+Italy!O24+'Pays-Bas'!O23+Sweden!O23+Finland!O23+UK!O23</f>
        <v>11295</v>
      </c>
    </row>
    <row r="4" spans="1:14" x14ac:dyDescent="0.2"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4" x14ac:dyDescent="0.2"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4" x14ac:dyDescent="0.2"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4" x14ac:dyDescent="0.2">
      <c r="B7" s="23"/>
      <c r="C7" s="23"/>
      <c r="D7" s="23"/>
      <c r="E7" s="23"/>
      <c r="F7" s="23"/>
      <c r="G7" s="23"/>
      <c r="H7" s="23"/>
      <c r="I7" s="23"/>
      <c r="J7" s="23"/>
      <c r="K7" s="23"/>
    </row>
    <row r="8" spans="1:14" x14ac:dyDescent="0.2">
      <c r="A8" t="s">
        <v>2</v>
      </c>
      <c r="B8" s="23">
        <v>34535</v>
      </c>
      <c r="C8" s="23">
        <v>39497</v>
      </c>
      <c r="D8" s="23">
        <v>32568</v>
      </c>
      <c r="E8" s="23">
        <v>20633</v>
      </c>
      <c r="F8" s="23">
        <v>18955</v>
      </c>
      <c r="G8" s="23">
        <v>19076</v>
      </c>
      <c r="H8" s="23">
        <v>24393</v>
      </c>
      <c r="I8" s="23">
        <v>31264.7</v>
      </c>
      <c r="J8" s="23">
        <f>Belgium!L25+Germany!L26+Germany!L27+Denmark!L26+France!L27+Italy!L24+'Pays-Bas'!L26+Sweden!L26+Finland!L26+UK!L26</f>
        <v>31676</v>
      </c>
      <c r="K8" s="23">
        <f>Belgium!M25+Germany!M26+Germany!M27+Denmark!M26+France!M27+Italy!M24+'Pays-Bas'!M26+Sweden!M26+Finland!M26+UK!M26</f>
        <v>28386.6</v>
      </c>
      <c r="L8" s="23">
        <f>Belgium!N25+Germany!N26+Germany!N27+Denmark!N26+France!N27+Italy!N24+'Pays-Bas'!N26+Sweden!N26+Finland!N26+UK!N26</f>
        <v>22620.29</v>
      </c>
      <c r="M8" s="23">
        <f>Belgium!O25+Germany!O26+Germany!O27+Denmark!O26+France!O27+Italy!O24+'Pays-Bas'!O26+Sweden!O26+Finland!O26+UK!O26</f>
        <v>21112.1</v>
      </c>
      <c r="N8" s="23">
        <f>Belgium!P25+Germany!P26+Germany!P27+Denmark!P26+France!P27+Italy!P24+'Pays-Bas'!P26+Sweden!P26+Finland!P26+UK!P26</f>
        <v>26467.64</v>
      </c>
    </row>
    <row r="9" spans="1:14" x14ac:dyDescent="0.2">
      <c r="A9" t="s">
        <v>3</v>
      </c>
      <c r="B9" s="23"/>
      <c r="C9" s="23"/>
      <c r="D9" s="23"/>
      <c r="E9" s="23"/>
      <c r="F9" s="23"/>
      <c r="G9" s="23">
        <f>Belgium!I25+Denmark!I26+France!I27+Italy!I24+'Pays-Bas'!I26+Sweden!I26+Finland!I26+UK!I26</f>
        <v>10293</v>
      </c>
      <c r="H9" s="23">
        <f>Belgium!J25+Denmark!J26+France!J27+Italy!J24+'Pays-Bas'!J26+Sweden!J26+Finland!J26+UK!J26</f>
        <v>13363.65</v>
      </c>
      <c r="I9" s="23">
        <f>Belgium!K25+Denmark!K26+France!K27+Italy!K24+'Pays-Bas'!K26+Sweden!K26+Finland!K26+UK!K26</f>
        <v>16644.7</v>
      </c>
      <c r="J9" s="23">
        <f>Belgium!L25+Denmark!L26+France!L27+Italy!L24+'Pays-Bas'!L26+Sweden!L26+Finland!L26+UK!L26</f>
        <v>15581</v>
      </c>
      <c r="K9" s="23">
        <f>Belgium!M25+Denmark!M26+France!M27+Italy!M24+'Pays-Bas'!M26+Sweden!M26+Finland!M26+UK!M26</f>
        <v>14787.6</v>
      </c>
      <c r="L9" s="23">
        <f>Belgium!N25+Denmark!N26+France!N27+Italy!N24+'Pays-Bas'!N26+Sweden!N26+Finland!N26+UK!N26</f>
        <v>10803.289999999999</v>
      </c>
      <c r="M9" s="23">
        <f>Belgium!O25+Denmark!O26+France!O27+Italy!O24+'Pays-Bas'!O26+Sweden!O26+Finland!O26+UK!O26</f>
        <v>9869.1</v>
      </c>
      <c r="N9" s="23">
        <f>Belgium!P25+Denmark!P26+France!P27+Italy!P24+'Pays-Bas'!P26+Sweden!P26+Finland!P26+UK!P26</f>
        <v>12960.64</v>
      </c>
    </row>
    <row r="10" spans="1:14" x14ac:dyDescent="0.2">
      <c r="A10" t="s">
        <v>4</v>
      </c>
      <c r="B10" s="23">
        <f>Belgium!D20+Germany!D21+Denmark!D20+France!D21+Italy!D20+'Pays-Bas'!D20+Sweden!D20+Finland!D20+UK!D20</f>
        <v>21631</v>
      </c>
      <c r="C10" s="23">
        <f>Belgium!E20+Germany!E21+Denmark!E20+France!E21+Italy!E20+'Pays-Bas'!E20+Sweden!E20+Finland!E20+UK!E20</f>
        <v>31901</v>
      </c>
      <c r="D10" s="23">
        <f>Belgium!F20+Germany!F21+Denmark!F20+France!F21+Italy!F20+'Pays-Bas'!F20+Sweden!F20+Finland!F20+UK!F20</f>
        <v>36474</v>
      </c>
      <c r="E10" s="23">
        <f>Belgium!G20+Germany!G21+Denmark!G20+France!G21+Italy!G20+'Pays-Bas'!G20+Sweden!G20+Finland!G20+UK!G20</f>
        <v>39125</v>
      </c>
      <c r="F10" s="23">
        <f>Belgium!H20+Germany!H21+Denmark!H20+France!H21+Italy!H20+'Pays-Bas'!H20+Sweden!H20+Finland!H20+UK!H20</f>
        <v>42697</v>
      </c>
      <c r="G10" s="23">
        <f>Belgium!I20+Germany!I21+Denmark!I20+France!I21+Italy!I20+'Pays-Bas'!I20+Sweden!I20+Finland!I20+UK!I20</f>
        <v>27238</v>
      </c>
      <c r="H10" s="23">
        <f>Belgium!J20+Germany!J21+Denmark!J20+France!J21+Italy!J20+'Pays-Bas'!J20+Sweden!J20+Finland!J20+UK!J20</f>
        <v>30246.5</v>
      </c>
      <c r="I10" s="23">
        <f>Belgium!K20+Germany!K21+Denmark!K20+France!K21+Italy!K20+'Pays-Bas'!K20+Sweden!K20+Finland!K20+UK!K20</f>
        <v>31696.6</v>
      </c>
      <c r="J10" s="23">
        <f>Belgium!L20+Germany!L21+Denmark!L20+France!L21+Italy!L20+'Pays-Bas'!L20+Sweden!L20+Finland!L20+UK!L20</f>
        <v>35999.9</v>
      </c>
      <c r="K10" s="23">
        <f>Belgium!M20+Germany!M21+Denmark!M20+France!M21+Italy!M20+'Pays-Bas'!M20+Sweden!M20+Finland!M20+UK!M20</f>
        <v>37046.400000000001</v>
      </c>
      <c r="L10" s="23">
        <f>Belgium!N20+Germany!N21+Denmark!N20+France!N21+Italy!N20+'Pays-Bas'!N20+Sweden!N20+Finland!N20+UK!N20</f>
        <v>30644.9</v>
      </c>
      <c r="M10" s="23">
        <f>Belgium!O20+Germany!O21+Denmark!O20+France!O21+Italy!O20+'Pays-Bas'!O20+Sweden!O20+Finland!O20+UK!O20</f>
        <v>23654.1</v>
      </c>
      <c r="N10" s="23">
        <f>Belgium!P20+Germany!P21+Denmark!P20+France!P21+Italy!P20+'Pays-Bas'!P20+Sweden!P20+Finland!P20+UK!P20</f>
        <v>27313.73</v>
      </c>
    </row>
    <row r="11" spans="1:14" x14ac:dyDescent="0.2">
      <c r="A11" t="s">
        <v>5</v>
      </c>
      <c r="B11" s="23"/>
      <c r="C11" s="23"/>
      <c r="D11" s="23"/>
      <c r="E11" s="23"/>
      <c r="F11" s="23"/>
      <c r="G11" s="23">
        <f>Belgium!I20+Denmark!I20+France!I21+Italy!I20+'Pays-Bas'!I20+Sweden!I20+Finland!I20+UK!I20</f>
        <v>23781</v>
      </c>
      <c r="H11" s="23">
        <f>Belgium!J20+Denmark!J20+France!J21+Italy!J20+'Pays-Bas'!J20+Sweden!J20+Finland!J20+UK!J20</f>
        <v>27360.5</v>
      </c>
      <c r="I11" s="23">
        <f>Belgium!K20+Denmark!K20+France!K21+Italy!K20+'Pays-Bas'!K20+Sweden!K20+Finland!K20+UK!K20</f>
        <v>29448.6</v>
      </c>
      <c r="J11" s="23">
        <f>Belgium!L20+Denmark!L20+France!L21+Italy!L20+'Pays-Bas'!L20+Sweden!L20+Finland!L20+UK!L20</f>
        <v>33361.9</v>
      </c>
      <c r="K11" s="23">
        <f>Belgium!M20+Denmark!M20+France!M21+Italy!M20+'Pays-Bas'!M20+Sweden!M20+Finland!M20+UK!M20</f>
        <v>34100.400000000001</v>
      </c>
      <c r="L11" s="23">
        <f>Belgium!N20+Denmark!N20+France!N21+Italy!N20+'Pays-Bas'!N20+Sweden!N20+Finland!N20+UK!N20</f>
        <v>27740.9</v>
      </c>
      <c r="M11" s="23">
        <f>Belgium!O20+Denmark!O20+France!O21+Italy!O20+'Pays-Bas'!O20+Sweden!O20+Finland!O20+UK!O20</f>
        <v>21279.1</v>
      </c>
      <c r="N11" s="23">
        <f>Belgium!P20+Denmark!P20+France!P21+Italy!P20+'Pays-Bas'!P20+Sweden!P20+Finland!P20+UK!P20</f>
        <v>25756.73</v>
      </c>
    </row>
    <row r="12" spans="1:14" x14ac:dyDescent="0.2">
      <c r="A12" t="s">
        <v>6</v>
      </c>
      <c r="B12" s="23">
        <f>Belgium!D17+Germany!D18+Denmark!D17+France!D18+Italy!D17+'Pays-Bas'!D17+Sweden!D17+Finland!D17+UK!D17</f>
        <v>5060</v>
      </c>
      <c r="C12" s="23">
        <f>Belgium!E17+Germany!E18+Denmark!E17+France!E18+Italy!E17+'Pays-Bas'!E17+Sweden!E17+Finland!E17+UK!E17</f>
        <v>5478</v>
      </c>
      <c r="D12" s="23">
        <f>Belgium!F17+Germany!F18+Denmark!F17+France!F18+Italy!F17+'Pays-Bas'!F17+Sweden!F17+Finland!F17+UK!F17</f>
        <v>6154</v>
      </c>
      <c r="E12" s="23">
        <f>Belgium!G17+Germany!G18+Denmark!G17+France!G18+Italy!G17+'Pays-Bas'!G17+Sweden!G17+Finland!G17+UK!G17</f>
        <v>6963</v>
      </c>
      <c r="F12" s="23">
        <f>Belgium!H17+Germany!H18+Denmark!H17+France!H18+Italy!H17+'Pays-Bas'!H17+Sweden!H17+Finland!H17+UK!H17</f>
        <v>6690</v>
      </c>
      <c r="G12" s="23">
        <f>Belgium!I17+Germany!I18+Denmark!I17+France!I18+Italy!I17+'Pays-Bas'!I17+Sweden!I17+Finland!I17+UK!I17</f>
        <v>6548</v>
      </c>
      <c r="H12" s="23">
        <f>Belgium!J17+Germany!J18+Denmark!J17+France!J18+Italy!J17+'Pays-Bas'!J17+Sweden!J17+Finland!J17+UK!J17</f>
        <v>6113.97</v>
      </c>
      <c r="I12" s="23">
        <f>Belgium!K17+Germany!K18+Denmark!K17+France!K18+Italy!K17+'Pays-Bas'!K17+Sweden!K17+Finland!K17+UK!K17</f>
        <v>6130</v>
      </c>
      <c r="J12" s="23">
        <f>Belgium!L17+Germany!L18+Denmark!L17+France!L18+Italy!L17+'Pays-Bas'!L17+Sweden!L17+Finland!L17+UK!L17</f>
        <v>6158.8</v>
      </c>
      <c r="K12" s="23">
        <f>Belgium!M17+Germany!M18+Denmark!M17+France!M18+Italy!M17+'Pays-Bas'!M17+Sweden!M17+Finland!M17+UK!M17</f>
        <v>6100.9</v>
      </c>
      <c r="L12" s="23">
        <f>Belgium!N17+Germany!N18+Denmark!N17+France!N18+Italy!N17+'Pays-Bas'!N17+Sweden!N17+Finland!N17+UK!N17</f>
        <v>7952.05</v>
      </c>
      <c r="M12" s="23">
        <f>Belgium!O17+Germany!O18+Denmark!O17+France!O18+Italy!O17+'Pays-Bas'!O17+Sweden!O17+Finland!O17+UK!O17</f>
        <v>9515.2000000000007</v>
      </c>
      <c r="N12" s="23">
        <f>Belgium!P17+Germany!P18+Denmark!P17+France!P18+Italy!P17+'Pays-Bas'!P17+Sweden!P17+Finland!P17+UK!P17</f>
        <v>9793.01</v>
      </c>
    </row>
    <row r="13" spans="1:14" x14ac:dyDescent="0.2">
      <c r="A13" t="s">
        <v>7</v>
      </c>
      <c r="B13" s="52">
        <v>1920</v>
      </c>
      <c r="C13" s="52">
        <v>2264</v>
      </c>
      <c r="D13" s="52">
        <v>2935</v>
      </c>
      <c r="E13" s="52">
        <v>3495</v>
      </c>
      <c r="F13" s="52">
        <v>3365</v>
      </c>
      <c r="G13" s="52">
        <v>2462</v>
      </c>
      <c r="H13" s="52">
        <v>1921</v>
      </c>
      <c r="I13" s="52">
        <v>2158</v>
      </c>
      <c r="J13" s="52">
        <v>2875</v>
      </c>
      <c r="K13" s="53">
        <v>3207</v>
      </c>
      <c r="L13" s="52">
        <f>France!N18</f>
        <v>3720</v>
      </c>
      <c r="M13" s="52">
        <f>France!O18</f>
        <v>3929</v>
      </c>
      <c r="N13" s="6">
        <f>France!P18</f>
        <v>3691</v>
      </c>
    </row>
    <row r="14" spans="1:14" x14ac:dyDescent="0.2">
      <c r="A14" t="s">
        <v>8</v>
      </c>
      <c r="B14" s="6">
        <v>2448</v>
      </c>
      <c r="C14" s="6">
        <v>2494</v>
      </c>
      <c r="D14" s="6">
        <v>2658</v>
      </c>
      <c r="E14" s="6">
        <v>3020</v>
      </c>
      <c r="F14" s="6">
        <v>2923</v>
      </c>
      <c r="G14" s="6">
        <v>3619</v>
      </c>
      <c r="H14" s="6">
        <v>3769</v>
      </c>
      <c r="I14" s="6">
        <v>3491</v>
      </c>
      <c r="J14" s="6">
        <v>2662</v>
      </c>
      <c r="K14" s="6">
        <v>2207</v>
      </c>
      <c r="L14" s="6">
        <f>Denmark!N17</f>
        <v>3255</v>
      </c>
      <c r="M14" s="6">
        <f>Denmark!O17</f>
        <v>4563</v>
      </c>
      <c r="N14" s="6">
        <f>Denmark!P17</f>
        <v>5312</v>
      </c>
    </row>
    <row r="17" spans="12:12" x14ac:dyDescent="0.2">
      <c r="L17" s="23"/>
    </row>
  </sheetData>
  <phoneticPr fontId="1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K6" activePane="bottomRight" state="frozen"/>
      <selection pane="topRight" activeCell="A11" sqref="A11:M11"/>
      <selection pane="bottomLeft" activeCell="A11" sqref="A11:M11"/>
      <selection pane="bottomRight" activeCell="AC24" sqref="AC24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customWidth="1"/>
    <col min="11" max="12" width="11.42578125" customWidth="1"/>
    <col min="13" max="15" width="0" hidden="1" customWidth="1"/>
    <col min="16" max="17" width="11.42578125" customWidth="1"/>
    <col min="18" max="23" width="11.42578125" style="146" customWidth="1"/>
  </cols>
  <sheetData>
    <row r="1" spans="1:26" ht="17.100000000000001" customHeight="1" x14ac:dyDescent="0.25">
      <c r="A1" s="69" t="s">
        <v>114</v>
      </c>
      <c r="B1" s="70"/>
      <c r="C1" s="70"/>
      <c r="D1" s="70"/>
      <c r="E1" s="1"/>
      <c r="F1" s="1"/>
      <c r="G1" s="1"/>
      <c r="H1" s="1"/>
      <c r="I1" s="1"/>
    </row>
    <row r="2" spans="1:26" ht="17.100000000000001" customHeight="1" x14ac:dyDescent="0.25">
      <c r="A2" s="292" t="s">
        <v>10</v>
      </c>
      <c r="B2" s="292"/>
      <c r="C2" s="292"/>
      <c r="D2" s="292"/>
      <c r="E2" s="292"/>
      <c r="F2" s="292"/>
      <c r="G2" s="292"/>
      <c r="H2" s="292"/>
      <c r="I2" s="292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16" customFormat="1" ht="20.100000000000001" customHeight="1" x14ac:dyDescent="0.25">
      <c r="A5" s="91" t="s">
        <v>11</v>
      </c>
      <c r="B5" s="92"/>
      <c r="C5" s="9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74">
        <v>2002</v>
      </c>
      <c r="J5" s="74">
        <v>2003</v>
      </c>
      <c r="K5" s="74">
        <v>2004</v>
      </c>
      <c r="L5" s="74">
        <v>2005</v>
      </c>
      <c r="M5" s="74">
        <v>2006</v>
      </c>
      <c r="N5" s="74">
        <v>2007</v>
      </c>
      <c r="O5" s="74">
        <v>2008</v>
      </c>
      <c r="P5" s="74">
        <v>2009</v>
      </c>
      <c r="Q5" s="74">
        <v>2010</v>
      </c>
      <c r="R5" s="74">
        <v>2011</v>
      </c>
      <c r="S5" s="74">
        <v>2012</v>
      </c>
      <c r="T5" s="74">
        <v>2013</v>
      </c>
      <c r="U5" s="74">
        <v>2014</v>
      </c>
      <c r="V5" s="74">
        <v>2015</v>
      </c>
      <c r="W5" s="74">
        <v>2016</v>
      </c>
      <c r="X5" s="74">
        <v>2017</v>
      </c>
      <c r="Y5" s="74">
        <v>2018</v>
      </c>
      <c r="Z5" s="74">
        <v>2019</v>
      </c>
    </row>
    <row r="6" spans="1:26" ht="20.100000000000001" customHeight="1" x14ac:dyDescent="0.2">
      <c r="A6" s="7" t="s">
        <v>13</v>
      </c>
      <c r="B6" s="8"/>
      <c r="C6" s="9"/>
      <c r="D6" s="6">
        <v>1137</v>
      </c>
      <c r="E6" s="6">
        <v>1099</v>
      </c>
      <c r="F6" s="6">
        <v>1299</v>
      </c>
      <c r="G6" s="6">
        <v>1151</v>
      </c>
      <c r="H6" s="6">
        <v>1330</v>
      </c>
      <c r="I6" s="6">
        <v>1109</v>
      </c>
      <c r="J6" s="6">
        <v>1323</v>
      </c>
      <c r="K6" s="6">
        <v>1283</v>
      </c>
      <c r="L6" s="5">
        <v>1226</v>
      </c>
      <c r="M6" s="6">
        <v>1058</v>
      </c>
      <c r="N6" s="5"/>
      <c r="O6" s="5"/>
      <c r="P6" s="5"/>
      <c r="Q6" s="5"/>
      <c r="R6" s="123"/>
      <c r="S6" s="123"/>
      <c r="T6" s="123"/>
      <c r="U6" s="123"/>
      <c r="V6" s="123"/>
      <c r="W6" s="123"/>
      <c r="X6" s="123"/>
      <c r="Y6" s="123">
        <v>563</v>
      </c>
      <c r="Z6" s="123"/>
    </row>
    <row r="7" spans="1:26" ht="20.100000000000001" customHeight="1" x14ac:dyDescent="0.2">
      <c r="A7" s="7" t="s">
        <v>14</v>
      </c>
      <c r="B7" s="8"/>
      <c r="C7" s="9"/>
      <c r="D7" s="6">
        <v>105</v>
      </c>
      <c r="E7" s="6">
        <v>98</v>
      </c>
      <c r="F7" s="6">
        <v>16</v>
      </c>
      <c r="G7" s="6">
        <v>9</v>
      </c>
      <c r="H7" s="6">
        <v>50</v>
      </c>
      <c r="I7" s="6">
        <v>51</v>
      </c>
      <c r="J7" s="6">
        <v>53</v>
      </c>
      <c r="K7" s="5">
        <v>58</v>
      </c>
      <c r="L7" s="5">
        <v>32</v>
      </c>
      <c r="M7" s="5">
        <v>51</v>
      </c>
      <c r="N7" s="5"/>
      <c r="O7" s="5"/>
      <c r="P7" s="5"/>
      <c r="Q7" s="5"/>
      <c r="R7" s="123"/>
      <c r="S7" s="123"/>
      <c r="T7" s="123"/>
      <c r="U7" s="123"/>
      <c r="V7" s="123"/>
      <c r="W7" s="123"/>
      <c r="X7" s="123"/>
      <c r="Y7" s="123">
        <v>359</v>
      </c>
      <c r="Z7" s="123"/>
    </row>
    <row r="8" spans="1:26" ht="20.100000000000001" customHeight="1" x14ac:dyDescent="0.2">
      <c r="A8" s="7" t="s">
        <v>58</v>
      </c>
      <c r="B8" s="8"/>
      <c r="C8" s="9"/>
      <c r="D8" s="6">
        <v>58</v>
      </c>
      <c r="E8" s="6">
        <v>76</v>
      </c>
      <c r="F8" s="6">
        <v>54</v>
      </c>
      <c r="G8" s="6">
        <v>93</v>
      </c>
      <c r="H8" s="6">
        <v>83</v>
      </c>
      <c r="I8" s="6">
        <v>73</v>
      </c>
      <c r="J8" s="6">
        <v>62</v>
      </c>
      <c r="K8" s="5">
        <v>60</v>
      </c>
      <c r="L8" s="5"/>
      <c r="M8" s="5"/>
      <c r="N8" s="5"/>
      <c r="O8" s="5"/>
      <c r="P8" s="5"/>
      <c r="Q8" s="5"/>
      <c r="R8" s="123"/>
      <c r="S8" s="123"/>
      <c r="T8" s="123"/>
      <c r="U8" s="123"/>
      <c r="V8" s="123"/>
      <c r="W8" s="123"/>
      <c r="X8" s="123"/>
      <c r="Y8" s="123">
        <v>66</v>
      </c>
      <c r="Z8" s="123"/>
    </row>
    <row r="9" spans="1:26" ht="20.100000000000001" customHeight="1" x14ac:dyDescent="0.2">
      <c r="A9" s="7" t="s">
        <v>115</v>
      </c>
      <c r="B9" s="8"/>
      <c r="C9" s="9"/>
      <c r="D9" s="6">
        <v>483</v>
      </c>
      <c r="E9" s="6">
        <v>455</v>
      </c>
      <c r="F9" s="6">
        <v>199</v>
      </c>
      <c r="G9" s="6">
        <v>322</v>
      </c>
      <c r="H9" s="6">
        <v>233</v>
      </c>
      <c r="I9" s="6">
        <v>176</v>
      </c>
      <c r="J9" s="6">
        <v>226</v>
      </c>
      <c r="K9" s="5">
        <v>234</v>
      </c>
      <c r="L9" s="5">
        <v>215</v>
      </c>
      <c r="M9" s="5">
        <v>261</v>
      </c>
      <c r="N9" s="5"/>
      <c r="O9" s="5"/>
      <c r="P9" s="5"/>
      <c r="Q9" s="5"/>
      <c r="R9" s="123"/>
      <c r="S9" s="123"/>
      <c r="T9" s="123"/>
      <c r="U9" s="123"/>
      <c r="V9" s="123"/>
      <c r="W9" s="123"/>
      <c r="X9" s="123"/>
      <c r="Y9" s="123">
        <v>56</v>
      </c>
      <c r="Z9" s="123"/>
    </row>
    <row r="10" spans="1:26" ht="20.100000000000001" customHeight="1" x14ac:dyDescent="0.2">
      <c r="A10" s="7" t="s">
        <v>116</v>
      </c>
      <c r="B10" s="8"/>
      <c r="C10" s="9"/>
      <c r="D10" s="6">
        <v>134</v>
      </c>
      <c r="E10" s="6">
        <v>154</v>
      </c>
      <c r="F10" s="6">
        <v>90</v>
      </c>
      <c r="G10" s="6">
        <v>198</v>
      </c>
      <c r="H10" s="6">
        <v>190</v>
      </c>
      <c r="I10" s="6">
        <v>212</v>
      </c>
      <c r="J10" s="6">
        <v>150</v>
      </c>
      <c r="K10" s="5">
        <v>110</v>
      </c>
      <c r="L10" s="5">
        <v>94</v>
      </c>
      <c r="M10" s="5">
        <v>123</v>
      </c>
      <c r="N10" s="5"/>
      <c r="O10" s="5"/>
      <c r="P10" s="5"/>
      <c r="Q10" s="5"/>
      <c r="R10" s="123"/>
      <c r="S10" s="123"/>
      <c r="T10" s="123"/>
      <c r="U10" s="123"/>
      <c r="V10" s="123"/>
      <c r="W10" s="123"/>
      <c r="X10" s="123"/>
      <c r="Y10" s="123">
        <v>17</v>
      </c>
      <c r="Z10" s="123"/>
    </row>
    <row r="11" spans="1:26" ht="20.100000000000001" customHeight="1" x14ac:dyDescent="0.2">
      <c r="A11" s="7" t="s">
        <v>59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23"/>
      <c r="S11" s="123"/>
      <c r="T11" s="123"/>
      <c r="U11" s="123"/>
      <c r="V11" s="123"/>
      <c r="W11" s="123"/>
      <c r="X11" s="123"/>
      <c r="Y11" s="123"/>
      <c r="Z11" s="123"/>
    </row>
    <row r="12" spans="1:26" ht="20.100000000000001" customHeight="1" x14ac:dyDescent="0.2">
      <c r="A12" s="7" t="s">
        <v>19</v>
      </c>
      <c r="B12" s="8"/>
      <c r="C12" s="9"/>
      <c r="D12" s="6">
        <v>511</v>
      </c>
      <c r="E12" s="6">
        <v>469</v>
      </c>
      <c r="F12" s="6">
        <v>625</v>
      </c>
      <c r="G12" s="6">
        <v>465</v>
      </c>
      <c r="H12" s="6">
        <v>659</v>
      </c>
      <c r="I12" s="6">
        <v>513</v>
      </c>
      <c r="J12" s="6">
        <v>614</v>
      </c>
      <c r="K12" s="5">
        <v>643</v>
      </c>
      <c r="L12" s="5"/>
      <c r="M12" s="5"/>
      <c r="N12" s="5"/>
      <c r="O12" s="5"/>
      <c r="P12" s="5"/>
      <c r="Q12" s="5"/>
      <c r="R12" s="123"/>
      <c r="S12" s="123"/>
      <c r="T12" s="123"/>
      <c r="U12" s="123"/>
      <c r="V12" s="123"/>
      <c r="W12" s="123"/>
      <c r="X12" s="123"/>
      <c r="Y12" s="123">
        <v>411</v>
      </c>
      <c r="Z12" s="123"/>
    </row>
    <row r="13" spans="1:26" ht="20.100000000000001" customHeight="1" x14ac:dyDescent="0.2">
      <c r="A13" s="7" t="s">
        <v>20</v>
      </c>
      <c r="B13" s="8"/>
      <c r="C13" s="9"/>
      <c r="D13" s="6">
        <v>3507</v>
      </c>
      <c r="E13" s="6">
        <v>3695</v>
      </c>
      <c r="F13" s="6">
        <v>2471</v>
      </c>
      <c r="G13" s="6">
        <v>3497</v>
      </c>
      <c r="H13" s="6">
        <v>2992</v>
      </c>
      <c r="I13" s="6">
        <v>3041</v>
      </c>
      <c r="J13" s="6">
        <v>2837</v>
      </c>
      <c r="K13" s="6">
        <v>2632</v>
      </c>
      <c r="L13" s="5">
        <v>2679</v>
      </c>
      <c r="M13" s="6">
        <v>2613</v>
      </c>
      <c r="N13" s="5"/>
      <c r="O13" s="5"/>
      <c r="P13" s="5"/>
      <c r="Q13" s="5"/>
      <c r="R13" s="123"/>
      <c r="S13" s="123"/>
      <c r="T13" s="123"/>
      <c r="U13" s="123"/>
      <c r="V13" s="123"/>
      <c r="W13" s="123"/>
      <c r="X13" s="123"/>
      <c r="Y13" s="123">
        <v>2422</v>
      </c>
      <c r="Z13" s="123"/>
    </row>
    <row r="14" spans="1:26" ht="20.100000000000001" customHeight="1" x14ac:dyDescent="0.2">
      <c r="A14" s="7" t="s">
        <v>22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ht="20.100000000000001" customHeight="1" x14ac:dyDescent="0.2">
      <c r="A15" s="7" t="s">
        <v>23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ht="20.100000000000001" customHeight="1" x14ac:dyDescent="0.2">
      <c r="A16" s="277" t="s">
        <v>24</v>
      </c>
      <c r="B16" s="278"/>
      <c r="C16" s="279"/>
      <c r="D16" s="79">
        <f t="shared" ref="D16:K16" si="0">SUM(D6:D15)</f>
        <v>5935</v>
      </c>
      <c r="E16" s="79">
        <f t="shared" si="0"/>
        <v>6046</v>
      </c>
      <c r="F16" s="79">
        <f t="shared" si="0"/>
        <v>4754</v>
      </c>
      <c r="G16" s="79">
        <f t="shared" si="0"/>
        <v>5735</v>
      </c>
      <c r="H16" s="79">
        <f t="shared" si="0"/>
        <v>5537</v>
      </c>
      <c r="I16" s="79">
        <f t="shared" si="0"/>
        <v>5175</v>
      </c>
      <c r="J16" s="79">
        <f t="shared" si="0"/>
        <v>5265</v>
      </c>
      <c r="K16" s="79">
        <f t="shared" si="0"/>
        <v>5020</v>
      </c>
      <c r="L16" s="97"/>
      <c r="M16" s="79"/>
      <c r="N16" s="97"/>
      <c r="O16" s="97"/>
      <c r="P16" s="97"/>
      <c r="Q16" s="97"/>
      <c r="R16" s="155"/>
      <c r="S16" s="155"/>
      <c r="T16" s="155"/>
      <c r="U16" s="155"/>
      <c r="V16" s="155"/>
      <c r="W16" s="155"/>
      <c r="X16" s="155"/>
      <c r="Y16" s="79">
        <f>SUM(Y6:Y15)</f>
        <v>3894</v>
      </c>
      <c r="Z16" s="155"/>
    </row>
    <row r="17" spans="1:26" ht="20.100000000000001" customHeight="1" x14ac:dyDescent="0.2">
      <c r="A17" s="7" t="s">
        <v>25</v>
      </c>
      <c r="B17" s="8"/>
      <c r="C17" s="9"/>
      <c r="D17" s="6">
        <v>16</v>
      </c>
      <c r="E17" s="6">
        <v>45</v>
      </c>
      <c r="F17" s="6">
        <v>43</v>
      </c>
      <c r="G17" s="6">
        <v>17</v>
      </c>
      <c r="H17" s="6">
        <v>18</v>
      </c>
      <c r="I17" s="6">
        <v>11</v>
      </c>
      <c r="J17" s="6">
        <v>0</v>
      </c>
      <c r="K17" s="5">
        <v>0</v>
      </c>
      <c r="L17" s="5">
        <v>9</v>
      </c>
      <c r="M17" s="5">
        <v>9</v>
      </c>
      <c r="N17" s="5"/>
      <c r="O17" s="5">
        <v>2</v>
      </c>
      <c r="P17" s="5">
        <v>5</v>
      </c>
      <c r="Q17" s="5">
        <v>6</v>
      </c>
      <c r="R17" s="123">
        <v>15</v>
      </c>
      <c r="S17" s="123">
        <v>10</v>
      </c>
      <c r="T17" s="123"/>
      <c r="U17" s="123"/>
      <c r="V17" s="123"/>
      <c r="W17" s="123"/>
      <c r="X17" s="123"/>
      <c r="Y17" s="123">
        <v>32</v>
      </c>
      <c r="Z17" s="123">
        <v>15</v>
      </c>
    </row>
    <row r="18" spans="1:26" ht="20.100000000000001" customHeight="1" x14ac:dyDescent="0.2">
      <c r="A18" s="7" t="s">
        <v>26</v>
      </c>
      <c r="B18" s="8"/>
      <c r="C18" s="9"/>
      <c r="D18" s="6">
        <v>4</v>
      </c>
      <c r="E18" s="6">
        <v>33</v>
      </c>
      <c r="F18" s="6">
        <v>6</v>
      </c>
      <c r="G18" s="6">
        <v>36</v>
      </c>
      <c r="H18" s="6">
        <v>46</v>
      </c>
      <c r="I18" s="6">
        <v>30</v>
      </c>
      <c r="J18" s="6">
        <v>13</v>
      </c>
      <c r="K18" s="5">
        <v>14</v>
      </c>
      <c r="L18" s="5">
        <v>0</v>
      </c>
      <c r="M18" s="5">
        <v>0</v>
      </c>
      <c r="N18" s="5"/>
      <c r="O18" s="5">
        <v>3</v>
      </c>
      <c r="P18" s="5"/>
      <c r="Q18" s="5">
        <v>2</v>
      </c>
      <c r="R18" s="123">
        <v>2</v>
      </c>
      <c r="S18" s="123">
        <v>8</v>
      </c>
      <c r="T18" s="123"/>
      <c r="U18" s="123"/>
      <c r="V18" s="123"/>
      <c r="W18" s="123"/>
      <c r="X18" s="123"/>
      <c r="Y18" s="123">
        <v>251</v>
      </c>
      <c r="Z18" s="123">
        <v>369</v>
      </c>
    </row>
    <row r="19" spans="1:26" ht="20.100000000000001" customHeight="1" x14ac:dyDescent="0.2">
      <c r="A19" s="25" t="s">
        <v>27</v>
      </c>
      <c r="B19" s="8"/>
      <c r="C19" s="9"/>
      <c r="D19" s="6">
        <v>2345</v>
      </c>
      <c r="E19" s="6">
        <v>2433</v>
      </c>
      <c r="F19" s="6">
        <v>2398</v>
      </c>
      <c r="G19" s="6">
        <v>2114</v>
      </c>
      <c r="H19" s="6">
        <v>1851</v>
      </c>
      <c r="I19" s="6">
        <v>1824</v>
      </c>
      <c r="J19" s="6">
        <v>1604</v>
      </c>
      <c r="K19" s="6">
        <v>1377</v>
      </c>
      <c r="L19" s="5">
        <v>1209</v>
      </c>
      <c r="M19" s="6">
        <v>1200</v>
      </c>
      <c r="N19" s="5"/>
      <c r="O19" s="5">
        <v>775</v>
      </c>
      <c r="P19" s="5">
        <v>724</v>
      </c>
      <c r="Q19" s="5">
        <v>845</v>
      </c>
      <c r="R19" s="123">
        <v>741</v>
      </c>
      <c r="S19" s="123">
        <v>562</v>
      </c>
      <c r="T19" s="123">
        <v>467</v>
      </c>
      <c r="U19" s="123">
        <v>424</v>
      </c>
      <c r="V19" s="123">
        <v>330</v>
      </c>
      <c r="W19" s="123">
        <v>333</v>
      </c>
      <c r="X19" s="123"/>
      <c r="Y19" s="123">
        <v>399</v>
      </c>
      <c r="Z19" s="123">
        <v>321</v>
      </c>
    </row>
    <row r="20" spans="1:26" ht="20.100000000000001" customHeight="1" x14ac:dyDescent="0.2">
      <c r="A20" s="7" t="s">
        <v>28</v>
      </c>
      <c r="B20" s="8"/>
      <c r="C20" s="9"/>
      <c r="D20" s="6">
        <v>1570</v>
      </c>
      <c r="E20" s="6">
        <v>3368</v>
      </c>
      <c r="F20" s="6">
        <v>3500</v>
      </c>
      <c r="G20" s="6">
        <v>2949</v>
      </c>
      <c r="H20" s="6">
        <v>2917</v>
      </c>
      <c r="I20" s="6">
        <v>2560</v>
      </c>
      <c r="J20" s="6">
        <v>1986</v>
      </c>
      <c r="K20" s="6">
        <v>2011</v>
      </c>
      <c r="L20" s="5">
        <v>2466</v>
      </c>
      <c r="M20" s="6">
        <v>2470</v>
      </c>
      <c r="N20" s="5">
        <v>2105</v>
      </c>
      <c r="O20" s="5">
        <v>885</v>
      </c>
      <c r="P20" s="5">
        <v>1029</v>
      </c>
      <c r="Q20" s="5">
        <v>747</v>
      </c>
      <c r="R20" s="123">
        <v>496</v>
      </c>
      <c r="S20" s="123">
        <v>376</v>
      </c>
      <c r="T20" s="123">
        <v>202</v>
      </c>
      <c r="U20" s="123">
        <v>180</v>
      </c>
      <c r="V20" s="123">
        <v>193</v>
      </c>
      <c r="W20" s="123">
        <v>309</v>
      </c>
      <c r="X20" s="123"/>
      <c r="Y20" s="123">
        <v>370</v>
      </c>
      <c r="Z20" s="123">
        <v>310</v>
      </c>
    </row>
    <row r="21" spans="1:26" ht="20.100000000000001" customHeight="1" x14ac:dyDescent="0.2">
      <c r="A21" s="7" t="s">
        <v>29</v>
      </c>
      <c r="B21" s="8"/>
      <c r="C21" s="9"/>
      <c r="D21" s="6">
        <v>63</v>
      </c>
      <c r="E21" s="6">
        <v>148</v>
      </c>
      <c r="F21" s="6">
        <v>322</v>
      </c>
      <c r="G21" s="6">
        <v>386</v>
      </c>
      <c r="H21" s="6">
        <v>277</v>
      </c>
      <c r="I21" s="6">
        <v>153</v>
      </c>
      <c r="J21" s="6">
        <v>189</v>
      </c>
      <c r="K21" s="5">
        <v>139</v>
      </c>
      <c r="L21" s="5">
        <v>183</v>
      </c>
      <c r="M21" s="5">
        <v>225</v>
      </c>
      <c r="N21" s="5">
        <v>291</v>
      </c>
      <c r="O21" s="5">
        <v>113</v>
      </c>
      <c r="P21" s="5">
        <v>49</v>
      </c>
      <c r="Q21" s="5">
        <v>88</v>
      </c>
      <c r="R21" s="123">
        <v>63</v>
      </c>
      <c r="S21" s="123">
        <v>35</v>
      </c>
      <c r="T21" s="123">
        <v>22</v>
      </c>
      <c r="U21" s="123"/>
      <c r="V21" s="123"/>
      <c r="W21" s="123"/>
      <c r="X21" s="123"/>
    </row>
    <row r="22" spans="1:26" ht="20.100000000000001" customHeight="1" x14ac:dyDescent="0.2">
      <c r="A22" s="120" t="s">
        <v>30</v>
      </c>
      <c r="B22" s="8"/>
      <c r="C22" s="9"/>
      <c r="D22" s="6">
        <v>30</v>
      </c>
      <c r="E22" s="6">
        <v>63</v>
      </c>
      <c r="F22" s="6">
        <v>28</v>
      </c>
      <c r="G22" s="6">
        <v>48</v>
      </c>
      <c r="H22" s="6">
        <v>39</v>
      </c>
      <c r="I22" s="6">
        <v>19</v>
      </c>
      <c r="J22" s="6">
        <v>22</v>
      </c>
      <c r="K22" s="5">
        <v>13</v>
      </c>
      <c r="L22" s="5">
        <v>10</v>
      </c>
      <c r="M22" s="5">
        <v>30</v>
      </c>
      <c r="N22" s="5"/>
      <c r="O22" s="5">
        <v>8</v>
      </c>
      <c r="P22" s="5">
        <v>10</v>
      </c>
      <c r="Q22" s="5">
        <v>3</v>
      </c>
      <c r="R22" s="123">
        <v>3</v>
      </c>
      <c r="S22" s="123">
        <v>1</v>
      </c>
      <c r="T22" s="123"/>
      <c r="U22" s="123"/>
      <c r="V22" s="123"/>
      <c r="W22" s="123"/>
      <c r="X22" s="123"/>
      <c r="Y22" s="123">
        <v>16</v>
      </c>
      <c r="Z22" s="123">
        <v>4</v>
      </c>
    </row>
    <row r="23" spans="1:26" ht="20.100000000000001" customHeight="1" x14ac:dyDescent="0.2">
      <c r="A23" s="120" t="s">
        <v>31</v>
      </c>
      <c r="B23" s="8"/>
      <c r="C23" s="9"/>
      <c r="D23" s="6">
        <v>763</v>
      </c>
      <c r="E23" s="6">
        <v>1001</v>
      </c>
      <c r="F23" s="6">
        <v>713</v>
      </c>
      <c r="G23" s="6">
        <v>1102</v>
      </c>
      <c r="H23" s="6">
        <v>1540</v>
      </c>
      <c r="I23" s="6">
        <v>1900</v>
      </c>
      <c r="J23" s="6">
        <v>1935</v>
      </c>
      <c r="K23" s="6">
        <v>1957</v>
      </c>
      <c r="L23" s="5">
        <v>1910</v>
      </c>
      <c r="M23" s="6">
        <v>1700</v>
      </c>
      <c r="N23" s="5">
        <v>1729</v>
      </c>
      <c r="O23" s="5">
        <v>1721</v>
      </c>
      <c r="P23" s="5">
        <v>2278</v>
      </c>
      <c r="Q23" s="5">
        <v>1247</v>
      </c>
      <c r="R23" s="123">
        <v>634</v>
      </c>
      <c r="S23" s="123">
        <v>768</v>
      </c>
      <c r="T23" s="123">
        <v>972</v>
      </c>
      <c r="U23" s="123">
        <v>1129</v>
      </c>
      <c r="V23" s="123">
        <v>1315</v>
      </c>
      <c r="W23" s="123">
        <v>956</v>
      </c>
      <c r="X23" s="123"/>
      <c r="Y23" s="123">
        <v>1327</v>
      </c>
      <c r="Z23" s="123">
        <v>1630</v>
      </c>
    </row>
    <row r="24" spans="1:26" ht="20.100000000000001" customHeight="1" x14ac:dyDescent="0.2">
      <c r="A24" s="7" t="s">
        <v>33</v>
      </c>
      <c r="B24" s="8"/>
      <c r="C24" s="9"/>
      <c r="D24" s="6">
        <v>16794</v>
      </c>
      <c r="E24" s="6">
        <v>20495</v>
      </c>
      <c r="F24" s="6">
        <v>10825</v>
      </c>
      <c r="G24" s="6">
        <v>13904</v>
      </c>
      <c r="H24" s="6">
        <v>12087</v>
      </c>
      <c r="I24" s="6">
        <v>9109</v>
      </c>
      <c r="J24" s="6">
        <v>13625</v>
      </c>
      <c r="K24" s="6">
        <v>17020</v>
      </c>
      <c r="L24" s="5">
        <v>20322</v>
      </c>
      <c r="M24" s="6">
        <v>17650</v>
      </c>
      <c r="N24" s="5">
        <v>13617</v>
      </c>
      <c r="O24" s="5">
        <v>10004</v>
      </c>
      <c r="P24" s="5">
        <v>11051</v>
      </c>
      <c r="Q24" s="5">
        <v>8497</v>
      </c>
      <c r="R24" s="123">
        <v>7158</v>
      </c>
      <c r="S24" s="123">
        <v>10506</v>
      </c>
      <c r="T24" s="123">
        <v>9142</v>
      </c>
      <c r="U24" s="123">
        <v>9099</v>
      </c>
      <c r="V24" s="123">
        <v>9828</v>
      </c>
      <c r="W24" s="123">
        <v>9542</v>
      </c>
      <c r="X24" s="123"/>
      <c r="Y24" s="123">
        <v>9230</v>
      </c>
      <c r="Z24" s="123">
        <v>11271</v>
      </c>
    </row>
    <row r="25" spans="1:26" ht="20.100000000000001" customHeight="1" x14ac:dyDescent="0.2">
      <c r="A25" s="7" t="s">
        <v>60</v>
      </c>
      <c r="B25" s="8"/>
      <c r="C25" s="9"/>
      <c r="D25" s="6">
        <v>99</v>
      </c>
      <c r="E25" s="6">
        <v>194</v>
      </c>
      <c r="F25" s="6">
        <v>287</v>
      </c>
      <c r="G25" s="6">
        <v>310</v>
      </c>
      <c r="H25" s="6">
        <v>103</v>
      </c>
      <c r="I25" s="6">
        <v>52</v>
      </c>
      <c r="J25" s="6">
        <v>25</v>
      </c>
      <c r="K25" s="5">
        <v>71</v>
      </c>
      <c r="L25" s="5">
        <v>146</v>
      </c>
      <c r="M25" s="5">
        <v>270</v>
      </c>
      <c r="N25" s="5">
        <v>396</v>
      </c>
      <c r="O25" s="5">
        <v>263</v>
      </c>
      <c r="P25" s="5">
        <v>214</v>
      </c>
      <c r="Q25" s="5">
        <v>96</v>
      </c>
      <c r="R25" s="123">
        <v>113</v>
      </c>
      <c r="S25" s="123">
        <v>254</v>
      </c>
      <c r="T25" s="123">
        <v>263</v>
      </c>
      <c r="U25" s="123">
        <v>283</v>
      </c>
      <c r="V25" s="123">
        <v>275</v>
      </c>
      <c r="W25" s="123">
        <v>263</v>
      </c>
      <c r="X25" s="123"/>
      <c r="Y25" s="123">
        <v>290</v>
      </c>
      <c r="Z25" s="123">
        <v>322</v>
      </c>
    </row>
    <row r="26" spans="1:26" ht="20.100000000000001" customHeight="1" x14ac:dyDescent="0.2">
      <c r="A26" s="7" t="s">
        <v>34</v>
      </c>
      <c r="B26" s="8"/>
      <c r="C26" s="9"/>
      <c r="D26" s="6">
        <v>3648</v>
      </c>
      <c r="E26" s="6">
        <v>3251</v>
      </c>
      <c r="F26" s="6">
        <v>960</v>
      </c>
      <c r="G26" s="6">
        <v>2141</v>
      </c>
      <c r="H26" s="6">
        <v>1844</v>
      </c>
      <c r="I26" s="6">
        <v>2105</v>
      </c>
      <c r="J26" s="6">
        <v>2896</v>
      </c>
      <c r="K26" s="6">
        <f>1887+708</f>
        <v>2595</v>
      </c>
      <c r="L26" s="5">
        <f>756+900</f>
        <v>1656</v>
      </c>
      <c r="M26" s="6">
        <v>2100</v>
      </c>
      <c r="N26" s="5">
        <v>1567</v>
      </c>
      <c r="O26" s="5">
        <v>1347</v>
      </c>
      <c r="P26" s="5">
        <v>1673</v>
      </c>
      <c r="Q26" s="5">
        <v>804</v>
      </c>
      <c r="R26" s="123">
        <v>1271</v>
      </c>
      <c r="S26" s="123">
        <v>1662</v>
      </c>
      <c r="T26" s="123">
        <v>1337</v>
      </c>
      <c r="U26" s="123">
        <v>809</v>
      </c>
      <c r="V26" s="123">
        <v>611</v>
      </c>
      <c r="W26" s="123">
        <v>803</v>
      </c>
      <c r="X26" s="123"/>
      <c r="Y26" s="123">
        <v>1053</v>
      </c>
      <c r="Z26" s="123">
        <v>703</v>
      </c>
    </row>
    <row r="27" spans="1:26" ht="20.100000000000001" customHeight="1" x14ac:dyDescent="0.2">
      <c r="A27" s="7" t="s">
        <v>35</v>
      </c>
      <c r="B27" s="8"/>
      <c r="C27" s="9"/>
      <c r="D27" s="6">
        <v>158</v>
      </c>
      <c r="E27" s="6">
        <v>208</v>
      </c>
      <c r="F27" s="6">
        <v>1425</v>
      </c>
      <c r="G27" s="6">
        <v>367</v>
      </c>
      <c r="H27" s="6">
        <v>375</v>
      </c>
      <c r="I27" s="6">
        <v>292</v>
      </c>
      <c r="J27" s="6">
        <f>J28-SUM(J17:J26)</f>
        <v>308</v>
      </c>
      <c r="K27" s="6">
        <f>K28-SUM(K17:K26)</f>
        <v>238</v>
      </c>
      <c r="L27" s="6"/>
      <c r="M27" s="6">
        <v>220</v>
      </c>
      <c r="N27" s="5"/>
      <c r="O27" s="5">
        <f>103+134+3</f>
        <v>240</v>
      </c>
      <c r="P27" s="5"/>
      <c r="Q27" s="5">
        <f>12494-12335</f>
        <v>159</v>
      </c>
      <c r="R27" s="123">
        <v>129</v>
      </c>
      <c r="S27" s="123">
        <f>14350-14182</f>
        <v>168</v>
      </c>
      <c r="T27" s="123"/>
      <c r="U27" s="123"/>
      <c r="V27" s="123"/>
      <c r="W27" s="123"/>
      <c r="X27" s="123"/>
      <c r="Y27" s="123"/>
      <c r="Z27" s="123"/>
    </row>
    <row r="28" spans="1:26" ht="20.100000000000001" customHeight="1" x14ac:dyDescent="0.2">
      <c r="A28" s="277" t="s">
        <v>36</v>
      </c>
      <c r="B28" s="278"/>
      <c r="C28" s="279"/>
      <c r="D28" s="79">
        <f t="shared" ref="D28:I28" si="1">SUM(D17:D27)</f>
        <v>25490</v>
      </c>
      <c r="E28" s="79">
        <f t="shared" si="1"/>
        <v>31239</v>
      </c>
      <c r="F28" s="79">
        <f t="shared" si="1"/>
        <v>20507</v>
      </c>
      <c r="G28" s="79">
        <f t="shared" si="1"/>
        <v>23374</v>
      </c>
      <c r="H28" s="79">
        <f t="shared" si="1"/>
        <v>21097</v>
      </c>
      <c r="I28" s="79">
        <f t="shared" si="1"/>
        <v>18055</v>
      </c>
      <c r="J28" s="79">
        <v>22603</v>
      </c>
      <c r="K28" s="79">
        <v>25435</v>
      </c>
      <c r="L28" s="79">
        <f t="shared" ref="L28:R28" si="2">SUM(L17:L27)</f>
        <v>27911</v>
      </c>
      <c r="M28" s="79">
        <f t="shared" si="2"/>
        <v>25874</v>
      </c>
      <c r="N28" s="79">
        <f t="shared" si="2"/>
        <v>19705</v>
      </c>
      <c r="O28" s="79">
        <f t="shared" si="2"/>
        <v>15361</v>
      </c>
      <c r="P28" s="79">
        <f t="shared" si="2"/>
        <v>17033</v>
      </c>
      <c r="Q28" s="79">
        <f t="shared" si="2"/>
        <v>12494</v>
      </c>
      <c r="R28" s="79">
        <f t="shared" si="2"/>
        <v>10625</v>
      </c>
      <c r="S28" s="79">
        <f>SUM(S17:S27)</f>
        <v>14350</v>
      </c>
      <c r="T28" s="79">
        <f>SUM(T17:T27)</f>
        <v>12405</v>
      </c>
      <c r="U28" s="79">
        <f>SUM(U17:U27)</f>
        <v>11924</v>
      </c>
      <c r="V28" s="79">
        <f>SUM(V17:V27)</f>
        <v>12552</v>
      </c>
      <c r="W28" s="79">
        <f>SUM(W17:W27)</f>
        <v>12206</v>
      </c>
      <c r="X28" s="79"/>
      <c r="Y28" s="79">
        <f>SUM(Y17:Y27)</f>
        <v>12968</v>
      </c>
      <c r="Z28" s="79">
        <f>SUM(Z17:Z27)</f>
        <v>14945</v>
      </c>
    </row>
    <row r="29" spans="1:26" ht="20.100000000000001" customHeight="1" x14ac:dyDescent="0.2">
      <c r="A29" s="7" t="s">
        <v>37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23"/>
      <c r="S29" s="123"/>
      <c r="T29" s="123"/>
      <c r="U29" s="123"/>
      <c r="V29" s="123"/>
      <c r="W29" s="123"/>
      <c r="X29" s="123"/>
      <c r="Y29" s="123"/>
      <c r="Z29" s="123"/>
    </row>
    <row r="30" spans="1:26" ht="20.100000000000001" customHeight="1" x14ac:dyDescent="0.2">
      <c r="A30" s="10" t="s">
        <v>38</v>
      </c>
      <c r="B30" s="11"/>
      <c r="C30" s="12"/>
      <c r="D30" s="6"/>
      <c r="E30" s="6"/>
      <c r="F30" s="6"/>
      <c r="G30" s="6"/>
      <c r="H30" s="6">
        <v>5</v>
      </c>
      <c r="I30" s="6"/>
      <c r="J30" s="6"/>
      <c r="K30" s="5"/>
      <c r="L30" s="5"/>
      <c r="M30" s="5"/>
      <c r="N30" s="5"/>
      <c r="O30" s="5"/>
      <c r="P30" s="5"/>
      <c r="Q30" s="5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ht="20.100000000000001" customHeight="1" x14ac:dyDescent="0.2">
      <c r="A31" s="7" t="s">
        <v>39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26" ht="20.100000000000001" customHeight="1" x14ac:dyDescent="0.2">
      <c r="A32" s="10" t="s">
        <v>40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ht="20.100000000000001" customHeight="1" x14ac:dyDescent="0.2">
      <c r="A33" s="7" t="s">
        <v>41</v>
      </c>
      <c r="B33" s="8"/>
      <c r="C33" s="9"/>
      <c r="D33" s="6">
        <v>49</v>
      </c>
      <c r="E33" s="6">
        <v>47</v>
      </c>
      <c r="F33" s="6">
        <v>32</v>
      </c>
      <c r="G33" s="6">
        <v>1</v>
      </c>
      <c r="H33" s="6">
        <v>39</v>
      </c>
      <c r="I33" s="6">
        <v>13</v>
      </c>
      <c r="J33" s="6">
        <v>7</v>
      </c>
      <c r="K33" s="5">
        <v>0</v>
      </c>
      <c r="L33" s="5">
        <v>0</v>
      </c>
      <c r="M33" s="5"/>
      <c r="N33" s="5"/>
      <c r="O33" s="5"/>
      <c r="P33" s="5"/>
      <c r="Q33" s="5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ht="20.100000000000001" customHeight="1" x14ac:dyDescent="0.2">
      <c r="A34" s="7" t="s">
        <v>42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ht="20.100000000000001" customHeight="1" x14ac:dyDescent="0.2">
      <c r="A35" s="7" t="s">
        <v>43</v>
      </c>
      <c r="B35" s="8"/>
      <c r="C35" s="9"/>
      <c r="D35" s="6">
        <v>23</v>
      </c>
      <c r="E35" s="6">
        <v>220</v>
      </c>
      <c r="F35" s="6">
        <v>117</v>
      </c>
      <c r="G35" s="6">
        <v>68</v>
      </c>
      <c r="H35" s="6">
        <v>172</v>
      </c>
      <c r="I35" s="6">
        <v>213</v>
      </c>
      <c r="J35" s="6">
        <v>213</v>
      </c>
      <c r="K35" s="5">
        <v>84</v>
      </c>
      <c r="L35" s="5">
        <v>74</v>
      </c>
      <c r="M35" s="5"/>
      <c r="N35" s="5"/>
      <c r="O35" s="5"/>
      <c r="P35" s="5"/>
      <c r="Q35" s="5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ht="20.100000000000001" customHeight="1" x14ac:dyDescent="0.2">
      <c r="A36" s="7" t="s">
        <v>44</v>
      </c>
      <c r="B36" s="8"/>
      <c r="C36" s="9"/>
      <c r="D36" s="6"/>
      <c r="E36" s="6">
        <v>14</v>
      </c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6" ht="20.100000000000001" customHeight="1" x14ac:dyDescent="0.2">
      <c r="A37" s="277" t="s">
        <v>45</v>
      </c>
      <c r="B37" s="278"/>
      <c r="C37" s="279"/>
      <c r="D37" s="259">
        <v>75</v>
      </c>
      <c r="E37" s="259">
        <v>281</v>
      </c>
      <c r="F37" s="79">
        <f t="shared" ref="F37:L37" si="3">F33+F35</f>
        <v>149</v>
      </c>
      <c r="G37" s="79">
        <f t="shared" si="3"/>
        <v>69</v>
      </c>
      <c r="H37" s="79">
        <f t="shared" si="3"/>
        <v>211</v>
      </c>
      <c r="I37" s="79">
        <f t="shared" si="3"/>
        <v>226</v>
      </c>
      <c r="J37" s="79">
        <f t="shared" si="3"/>
        <v>220</v>
      </c>
      <c r="K37" s="79">
        <f t="shared" si="3"/>
        <v>84</v>
      </c>
      <c r="L37" s="79">
        <f t="shared" si="3"/>
        <v>74</v>
      </c>
      <c r="M37" s="97"/>
      <c r="N37" s="97"/>
      <c r="O37" s="97"/>
      <c r="P37" s="97"/>
      <c r="Q37" s="97"/>
      <c r="R37" s="155"/>
      <c r="S37" s="155"/>
      <c r="T37" s="155"/>
      <c r="U37" s="155"/>
      <c r="V37" s="155"/>
      <c r="W37" s="155"/>
      <c r="X37" s="155"/>
      <c r="Y37" s="155"/>
      <c r="Z37" s="155"/>
    </row>
    <row r="38" spans="1:26" ht="20.100000000000001" customHeight="1" x14ac:dyDescent="0.2">
      <c r="A38" s="7" t="s">
        <v>64</v>
      </c>
      <c r="B38" s="8"/>
      <c r="C38" s="9"/>
      <c r="D38" s="5">
        <v>3468</v>
      </c>
      <c r="E38" s="5">
        <v>2983</v>
      </c>
      <c r="F38" s="5">
        <v>3095</v>
      </c>
      <c r="G38" s="5">
        <v>3401</v>
      </c>
      <c r="H38" s="5">
        <v>3654</v>
      </c>
      <c r="I38" s="5">
        <v>3342</v>
      </c>
      <c r="J38" s="57">
        <v>3735.46</v>
      </c>
      <c r="K38" s="57">
        <v>3758.04</v>
      </c>
      <c r="L38" s="5"/>
      <c r="M38" s="57"/>
      <c r="N38" s="5"/>
      <c r="O38" s="5"/>
      <c r="P38" s="5"/>
      <c r="Q38" s="5"/>
      <c r="R38" s="123"/>
      <c r="S38" s="123"/>
      <c r="T38" s="123"/>
      <c r="U38" s="123"/>
      <c r="V38" s="123"/>
      <c r="W38" s="123"/>
      <c r="X38" s="123"/>
      <c r="Y38" s="123">
        <v>1490</v>
      </c>
      <c r="Z38" s="123"/>
    </row>
    <row r="39" spans="1:26" ht="20.100000000000001" customHeight="1" x14ac:dyDescent="0.2">
      <c r="A39" s="7" t="s">
        <v>47</v>
      </c>
      <c r="B39" s="8"/>
      <c r="C39" s="9"/>
      <c r="D39" s="5"/>
      <c r="E39" s="5"/>
      <c r="F39" s="5"/>
      <c r="G39" s="5"/>
      <c r="H39" s="5">
        <v>14</v>
      </c>
      <c r="I39" s="5">
        <v>3</v>
      </c>
      <c r="J39" s="5">
        <v>13</v>
      </c>
      <c r="K39" s="5">
        <v>10</v>
      </c>
      <c r="L39" s="5"/>
      <c r="M39" s="5"/>
      <c r="N39" s="5"/>
      <c r="O39" s="5"/>
      <c r="P39" s="5"/>
      <c r="Q39" s="5"/>
      <c r="R39" s="123"/>
      <c r="S39" s="123"/>
      <c r="T39" s="123"/>
      <c r="U39" s="123"/>
      <c r="V39" s="123"/>
      <c r="W39" s="123"/>
      <c r="X39" s="123"/>
      <c r="Y39" s="123"/>
      <c r="Z39" s="123"/>
    </row>
    <row r="40" spans="1:26" ht="20.100000000000001" customHeight="1" x14ac:dyDescent="0.2">
      <c r="A40" s="7" t="s">
        <v>117</v>
      </c>
      <c r="B40" s="8"/>
      <c r="C40" s="9"/>
      <c r="D40" s="5"/>
      <c r="E40" s="5">
        <v>0.3</v>
      </c>
      <c r="F40" s="5"/>
      <c r="G40" s="5"/>
      <c r="H40" s="5"/>
      <c r="I40" s="5"/>
      <c r="J40" s="5">
        <v>3</v>
      </c>
      <c r="K40" s="5">
        <v>7</v>
      </c>
      <c r="L40" s="5"/>
      <c r="M40" s="5"/>
      <c r="N40" s="5"/>
      <c r="O40" s="5"/>
      <c r="P40" s="5"/>
      <c r="Q40" s="5"/>
      <c r="R40" s="123"/>
      <c r="S40" s="123"/>
      <c r="T40" s="123"/>
      <c r="U40" s="123"/>
      <c r="V40" s="123"/>
      <c r="W40" s="123"/>
      <c r="X40" s="123"/>
      <c r="Y40" s="123"/>
      <c r="Z40" s="123"/>
    </row>
    <row r="41" spans="1:26" ht="20.100000000000001" customHeight="1" x14ac:dyDescent="0.2">
      <c r="A41" s="7" t="s">
        <v>50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23"/>
      <c r="S41" s="123"/>
      <c r="T41" s="123"/>
      <c r="U41" s="123"/>
      <c r="V41" s="123"/>
      <c r="W41" s="123"/>
      <c r="X41" s="123"/>
      <c r="Y41" s="123"/>
      <c r="Z41" s="123"/>
    </row>
    <row r="42" spans="1:26" ht="20.100000000000001" customHeight="1" x14ac:dyDescent="0.2">
      <c r="A42" s="7" t="s">
        <v>51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23"/>
      <c r="S42" s="123"/>
      <c r="T42" s="123"/>
      <c r="U42" s="123"/>
      <c r="V42" s="123"/>
      <c r="W42" s="123"/>
      <c r="X42" s="123"/>
      <c r="Y42" s="123"/>
      <c r="Z42" s="123"/>
    </row>
    <row r="43" spans="1:26" ht="20.100000000000001" customHeight="1" x14ac:dyDescent="0.2">
      <c r="A43" s="7" t="s">
        <v>52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23"/>
      <c r="S43" s="123"/>
      <c r="T43" s="123"/>
      <c r="U43" s="123"/>
      <c r="V43" s="123"/>
      <c r="W43" s="123"/>
      <c r="X43" s="123"/>
      <c r="Y43" s="123"/>
      <c r="Z43" s="123"/>
    </row>
    <row r="44" spans="1:26" ht="20.100000000000001" customHeight="1" x14ac:dyDescent="0.2">
      <c r="A44" s="7" t="s">
        <v>53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23"/>
      <c r="S44" s="123"/>
      <c r="T44" s="123"/>
      <c r="U44" s="123"/>
      <c r="V44" s="123"/>
      <c r="W44" s="123"/>
      <c r="X44" s="123"/>
      <c r="Y44" s="123"/>
      <c r="Z44" s="123"/>
    </row>
    <row r="45" spans="1:26" ht="20.100000000000001" customHeight="1" x14ac:dyDescent="0.2">
      <c r="A45" s="7" t="s">
        <v>54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23"/>
      <c r="S45" s="123"/>
      <c r="T45" s="123"/>
      <c r="U45" s="123"/>
      <c r="V45" s="123"/>
      <c r="W45" s="123"/>
      <c r="X45" s="123"/>
      <c r="Y45" s="123"/>
      <c r="Z45" s="123"/>
    </row>
    <row r="46" spans="1:26" ht="20.100000000000001" customHeight="1" x14ac:dyDescent="0.2">
      <c r="A46" s="277" t="s">
        <v>55</v>
      </c>
      <c r="B46" s="278"/>
      <c r="C46" s="279"/>
      <c r="D46" s="259">
        <v>34968</v>
      </c>
      <c r="E46" s="259">
        <v>40550</v>
      </c>
      <c r="F46" s="259">
        <v>20507</v>
      </c>
      <c r="G46" s="259">
        <v>23374</v>
      </c>
      <c r="H46" s="259"/>
      <c r="I46" s="79">
        <f>I37+I28+I16</f>
        <v>23456</v>
      </c>
      <c r="J46" s="79">
        <f>J37+J28+J16</f>
        <v>28088</v>
      </c>
      <c r="K46" s="79">
        <f>K37+K28+K16</f>
        <v>30539</v>
      </c>
      <c r="L46" s="79">
        <f>L37+L28+L16</f>
        <v>27985</v>
      </c>
      <c r="M46" s="79">
        <f>M37+M28+M16</f>
        <v>25874</v>
      </c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</row>
    <row r="47" spans="1:26" x14ac:dyDescent="0.2">
      <c r="F47" t="s">
        <v>32</v>
      </c>
      <c r="G47" t="s">
        <v>32</v>
      </c>
    </row>
  </sheetData>
  <mergeCells count="1">
    <mergeCell ref="A2:I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D6" activePane="bottomRight" state="frozen"/>
      <selection pane="topRight" activeCell="A11" sqref="A11:M11"/>
      <selection pane="bottomLeft" activeCell="A11" sqref="A11:M11"/>
      <selection pane="bottomRight" activeCell="AE20" sqref="AE20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hidden="1" customWidth="1"/>
    <col min="11" max="17" width="11.42578125" hidden="1" customWidth="1"/>
    <col min="18" max="18" width="11.42578125" style="146" hidden="1" customWidth="1"/>
    <col min="19" max="23" width="11.42578125" style="146" customWidth="1"/>
  </cols>
  <sheetData>
    <row r="1" spans="1:26" ht="17.100000000000001" customHeight="1" x14ac:dyDescent="0.25">
      <c r="A1" s="69" t="s">
        <v>114</v>
      </c>
      <c r="B1" s="70"/>
      <c r="C1" s="70"/>
      <c r="D1" s="70"/>
      <c r="E1" s="1"/>
      <c r="F1" s="1"/>
      <c r="G1" s="1"/>
      <c r="H1" s="1"/>
      <c r="I1" s="1"/>
    </row>
    <row r="2" spans="1:26" ht="17.100000000000001" customHeight="1" x14ac:dyDescent="0.25">
      <c r="A2" s="292" t="s">
        <v>10</v>
      </c>
      <c r="B2" s="292"/>
      <c r="C2" s="292"/>
      <c r="D2" s="292"/>
      <c r="E2" s="292"/>
      <c r="F2" s="292"/>
      <c r="G2" s="292"/>
      <c r="H2" s="292"/>
      <c r="I2" s="292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16" customFormat="1" ht="20.100000000000001" customHeight="1" x14ac:dyDescent="0.25">
      <c r="A5" s="91" t="s">
        <v>11</v>
      </c>
      <c r="B5" s="92"/>
      <c r="C5" s="9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74">
        <v>2002</v>
      </c>
      <c r="J5" s="74">
        <v>2003</v>
      </c>
      <c r="K5" s="74">
        <v>2004</v>
      </c>
      <c r="L5" s="74">
        <v>2005</v>
      </c>
      <c r="M5" s="74">
        <v>2006</v>
      </c>
      <c r="N5" s="74">
        <v>2007</v>
      </c>
      <c r="O5" s="74">
        <v>2008</v>
      </c>
      <c r="P5" s="74">
        <v>2009</v>
      </c>
      <c r="Q5" s="74">
        <v>2010</v>
      </c>
      <c r="R5" s="74">
        <v>2011</v>
      </c>
      <c r="S5" s="74">
        <v>2012</v>
      </c>
      <c r="T5" s="74">
        <v>2013</v>
      </c>
      <c r="U5" s="74">
        <v>2014</v>
      </c>
      <c r="V5" s="74">
        <v>2015</v>
      </c>
      <c r="W5" s="74">
        <v>2016</v>
      </c>
      <c r="X5" s="74">
        <v>2017</v>
      </c>
      <c r="Y5" s="74">
        <v>2018</v>
      </c>
      <c r="Z5" s="74">
        <v>2019</v>
      </c>
    </row>
    <row r="6" spans="1:26" ht="20.100000000000001" customHeight="1" x14ac:dyDescent="0.2">
      <c r="A6" s="7" t="s">
        <v>13</v>
      </c>
      <c r="B6" s="8"/>
      <c r="C6" s="9"/>
      <c r="D6" s="6">
        <v>1137</v>
      </c>
      <c r="E6" s="6"/>
      <c r="F6" s="6"/>
      <c r="G6" s="6"/>
      <c r="H6" s="6"/>
      <c r="I6" s="6"/>
      <c r="J6" s="6"/>
      <c r="K6" s="6"/>
      <c r="L6" s="5"/>
      <c r="M6" s="6"/>
      <c r="N6" s="5"/>
      <c r="O6" s="5"/>
      <c r="P6" s="5"/>
      <c r="Q6" s="5"/>
      <c r="R6" s="123"/>
      <c r="S6" s="123"/>
      <c r="T6" s="123"/>
      <c r="U6" s="123"/>
      <c r="V6" s="123"/>
      <c r="W6" s="123"/>
      <c r="X6" s="123"/>
      <c r="Y6" s="123"/>
      <c r="Z6" s="123"/>
    </row>
    <row r="7" spans="1:26" ht="20.100000000000001" customHeight="1" x14ac:dyDescent="0.2">
      <c r="A7" s="7" t="s">
        <v>14</v>
      </c>
      <c r="B7" s="8"/>
      <c r="C7" s="9"/>
      <c r="D7" s="6">
        <v>105</v>
      </c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123"/>
      <c r="S7" s="123"/>
      <c r="T7" s="123"/>
      <c r="U7" s="123"/>
      <c r="V7" s="123"/>
      <c r="W7" s="123"/>
      <c r="X7" s="123"/>
      <c r="Y7" s="123"/>
      <c r="Z7" s="123"/>
    </row>
    <row r="8" spans="1:26" ht="20.100000000000001" customHeight="1" x14ac:dyDescent="0.2">
      <c r="A8" s="7" t="s">
        <v>58</v>
      </c>
      <c r="B8" s="8"/>
      <c r="C8" s="9"/>
      <c r="D8" s="6">
        <v>58</v>
      </c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5"/>
      <c r="R8" s="123"/>
      <c r="S8" s="123"/>
      <c r="T8" s="123"/>
      <c r="U8" s="123"/>
      <c r="V8" s="123"/>
      <c r="W8" s="123"/>
      <c r="X8" s="123"/>
      <c r="Y8" s="123"/>
      <c r="Z8" s="123"/>
    </row>
    <row r="9" spans="1:26" ht="20.100000000000001" customHeight="1" x14ac:dyDescent="0.2">
      <c r="A9" s="7" t="s">
        <v>115</v>
      </c>
      <c r="B9" s="8"/>
      <c r="C9" s="9"/>
      <c r="D9" s="6">
        <v>483</v>
      </c>
      <c r="E9" s="6"/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123"/>
      <c r="S9" s="123"/>
      <c r="T9" s="123"/>
      <c r="U9" s="123"/>
      <c r="V9" s="123"/>
      <c r="W9" s="123"/>
      <c r="X9" s="123"/>
      <c r="Y9" s="123"/>
      <c r="Z9" s="123"/>
    </row>
    <row r="10" spans="1:26" ht="20.100000000000001" customHeight="1" x14ac:dyDescent="0.2">
      <c r="A10" s="7" t="s">
        <v>116</v>
      </c>
      <c r="B10" s="8"/>
      <c r="C10" s="9"/>
      <c r="D10" s="6">
        <v>134</v>
      </c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123"/>
      <c r="S10" s="123"/>
      <c r="T10" s="123"/>
      <c r="U10" s="123"/>
      <c r="V10" s="123"/>
      <c r="W10" s="123"/>
      <c r="X10" s="123"/>
      <c r="Y10" s="123"/>
      <c r="Z10" s="123"/>
    </row>
    <row r="11" spans="1:26" ht="20.100000000000001" customHeight="1" x14ac:dyDescent="0.2">
      <c r="A11" s="7" t="s">
        <v>59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23"/>
      <c r="S11" s="123"/>
      <c r="T11" s="123"/>
      <c r="U11" s="123"/>
      <c r="V11" s="123"/>
      <c r="W11" s="123"/>
      <c r="X11" s="123"/>
      <c r="Y11" s="123"/>
      <c r="Z11" s="123"/>
    </row>
    <row r="12" spans="1:26" ht="20.100000000000001" customHeight="1" x14ac:dyDescent="0.2">
      <c r="A12" s="7" t="s">
        <v>19</v>
      </c>
      <c r="B12" s="8"/>
      <c r="C12" s="9"/>
      <c r="D12" s="6">
        <v>511</v>
      </c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ht="20.100000000000001" customHeight="1" x14ac:dyDescent="0.2">
      <c r="A13" s="7" t="s">
        <v>20</v>
      </c>
      <c r="B13" s="8"/>
      <c r="C13" s="9"/>
      <c r="D13" s="6">
        <v>3507</v>
      </c>
      <c r="E13" s="6"/>
      <c r="F13" s="6"/>
      <c r="G13" s="6"/>
      <c r="H13" s="6"/>
      <c r="I13" s="6"/>
      <c r="J13" s="6"/>
      <c r="K13" s="6"/>
      <c r="L13" s="5"/>
      <c r="M13" s="6"/>
      <c r="N13" s="5"/>
      <c r="O13" s="5"/>
      <c r="P13" s="5"/>
      <c r="Q13" s="5"/>
      <c r="R13" s="123"/>
      <c r="S13" s="123"/>
      <c r="T13" s="123"/>
      <c r="U13" s="123"/>
      <c r="V13" s="123"/>
      <c r="W13" s="123"/>
      <c r="X13" s="123"/>
      <c r="Y13" s="123"/>
      <c r="Z13" s="123"/>
    </row>
    <row r="14" spans="1:26" ht="20.100000000000001" customHeight="1" x14ac:dyDescent="0.2">
      <c r="A14" s="7" t="s">
        <v>22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ht="20.100000000000001" customHeight="1" x14ac:dyDescent="0.2">
      <c r="A15" s="7" t="s">
        <v>23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ht="20.100000000000001" customHeight="1" x14ac:dyDescent="0.2">
      <c r="A16" s="277" t="s">
        <v>24</v>
      </c>
      <c r="B16" s="278"/>
      <c r="C16" s="279"/>
      <c r="D16" s="79">
        <f t="shared" ref="D16:K16" si="0">SUM(D6:D15)</f>
        <v>5935</v>
      </c>
      <c r="E16" s="79">
        <f t="shared" si="0"/>
        <v>0</v>
      </c>
      <c r="F16" s="79">
        <f t="shared" si="0"/>
        <v>0</v>
      </c>
      <c r="G16" s="79">
        <f t="shared" si="0"/>
        <v>0</v>
      </c>
      <c r="H16" s="79">
        <f t="shared" si="0"/>
        <v>0</v>
      </c>
      <c r="I16" s="79">
        <f t="shared" si="0"/>
        <v>0</v>
      </c>
      <c r="J16" s="79">
        <f t="shared" si="0"/>
        <v>0</v>
      </c>
      <c r="K16" s="79">
        <f t="shared" si="0"/>
        <v>0</v>
      </c>
      <c r="L16" s="97"/>
      <c r="M16" s="79"/>
      <c r="N16" s="97"/>
      <c r="O16" s="97"/>
      <c r="P16" s="97"/>
      <c r="Q16" s="97"/>
      <c r="R16" s="155"/>
      <c r="S16" s="155"/>
      <c r="T16" s="155"/>
      <c r="U16" s="155"/>
      <c r="V16" s="155"/>
      <c r="W16" s="155"/>
      <c r="X16" s="155"/>
      <c r="Y16" s="155"/>
      <c r="Z16" s="155"/>
    </row>
    <row r="17" spans="1:26" ht="20.100000000000001" customHeight="1" x14ac:dyDescent="0.2">
      <c r="A17" s="7" t="s">
        <v>25</v>
      </c>
      <c r="B17" s="8"/>
      <c r="C17" s="9"/>
      <c r="D17" s="6">
        <v>16</v>
      </c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ht="20.100000000000001" customHeight="1" x14ac:dyDescent="0.2">
      <c r="A18" s="7" t="s">
        <v>26</v>
      </c>
      <c r="B18" s="8"/>
      <c r="C18" s="9"/>
      <c r="D18" s="6">
        <v>4</v>
      </c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ht="20.100000000000001" customHeight="1" x14ac:dyDescent="0.2">
      <c r="A19" s="25" t="s">
        <v>27</v>
      </c>
      <c r="B19" s="8"/>
      <c r="C19" s="9"/>
      <c r="D19" s="6">
        <v>2345</v>
      </c>
      <c r="E19" s="6"/>
      <c r="F19" s="6"/>
      <c r="G19" s="6"/>
      <c r="H19" s="6"/>
      <c r="I19" s="6"/>
      <c r="J19" s="6"/>
      <c r="K19" s="6"/>
      <c r="L19" s="5"/>
      <c r="M19" s="6"/>
      <c r="N19" s="5"/>
      <c r="O19" s="5"/>
      <c r="P19" s="5"/>
      <c r="Q19" s="5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ht="20.100000000000001" customHeight="1" x14ac:dyDescent="0.2">
      <c r="A20" s="7" t="s">
        <v>28</v>
      </c>
      <c r="B20" s="8"/>
      <c r="C20" s="9"/>
      <c r="D20" s="6">
        <v>1570</v>
      </c>
      <c r="E20" s="6"/>
      <c r="F20" s="6"/>
      <c r="G20" s="6"/>
      <c r="H20" s="6"/>
      <c r="I20" s="6"/>
      <c r="J20" s="6"/>
      <c r="K20" s="6"/>
      <c r="L20" s="5"/>
      <c r="M20" s="6"/>
      <c r="N20" s="5"/>
      <c r="O20" s="5"/>
      <c r="P20" s="5"/>
      <c r="Q20" s="5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ht="20.100000000000001" customHeight="1" x14ac:dyDescent="0.2">
      <c r="A21" s="7" t="s">
        <v>29</v>
      </c>
      <c r="B21" s="8"/>
      <c r="C21" s="9"/>
      <c r="D21" s="6">
        <v>63</v>
      </c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123"/>
      <c r="S21" s="123"/>
      <c r="T21" s="123"/>
      <c r="U21" s="123"/>
      <c r="V21" s="123"/>
      <c r="W21" s="123"/>
      <c r="X21" s="123"/>
      <c r="Y21" s="123"/>
      <c r="Z21" s="123"/>
    </row>
    <row r="22" spans="1:26" ht="20.100000000000001" customHeight="1" x14ac:dyDescent="0.2">
      <c r="A22" s="120" t="s">
        <v>30</v>
      </c>
      <c r="B22" s="8"/>
      <c r="C22" s="9"/>
      <c r="D22" s="6">
        <v>30</v>
      </c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ht="20.100000000000001" customHeight="1" x14ac:dyDescent="0.2">
      <c r="A23" s="120" t="s">
        <v>31</v>
      </c>
      <c r="B23" s="8"/>
      <c r="C23" s="9"/>
      <c r="D23" s="6">
        <v>763</v>
      </c>
      <c r="E23" s="6"/>
      <c r="F23" s="6"/>
      <c r="G23" s="6"/>
      <c r="H23" s="6"/>
      <c r="I23" s="6"/>
      <c r="J23" s="6"/>
      <c r="K23" s="6"/>
      <c r="L23" s="5"/>
      <c r="M23" s="6"/>
      <c r="N23" s="5"/>
      <c r="O23" s="5"/>
      <c r="P23" s="5"/>
      <c r="Q23" s="5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ht="20.100000000000001" customHeight="1" x14ac:dyDescent="0.2">
      <c r="A24" s="7" t="s">
        <v>33</v>
      </c>
      <c r="B24" s="8"/>
      <c r="C24" s="9"/>
      <c r="D24" s="6">
        <v>16794</v>
      </c>
      <c r="E24" s="6"/>
      <c r="F24" s="6"/>
      <c r="G24" s="6"/>
      <c r="H24" s="6"/>
      <c r="I24" s="6"/>
      <c r="J24" s="6"/>
      <c r="K24" s="6"/>
      <c r="L24" s="5"/>
      <c r="M24" s="6"/>
      <c r="N24" s="5"/>
      <c r="O24" s="5"/>
      <c r="P24" s="5"/>
      <c r="Q24" s="5"/>
      <c r="R24" s="123"/>
      <c r="S24" s="123">
        <v>1090</v>
      </c>
      <c r="T24" s="123">
        <v>1317</v>
      </c>
      <c r="U24" s="123">
        <v>916</v>
      </c>
      <c r="V24" s="123">
        <v>773</v>
      </c>
      <c r="W24" s="123">
        <v>988</v>
      </c>
      <c r="X24" s="123"/>
      <c r="Y24" s="123"/>
      <c r="Z24" s="123"/>
    </row>
    <row r="25" spans="1:26" ht="20.100000000000001" customHeight="1" x14ac:dyDescent="0.2">
      <c r="A25" s="7" t="s">
        <v>60</v>
      </c>
      <c r="B25" s="8"/>
      <c r="C25" s="9"/>
      <c r="D25" s="6">
        <v>99</v>
      </c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1:26" ht="20.100000000000001" customHeight="1" x14ac:dyDescent="0.2">
      <c r="A26" s="7" t="s">
        <v>34</v>
      </c>
      <c r="B26" s="8"/>
      <c r="C26" s="9"/>
      <c r="D26" s="6">
        <v>3648</v>
      </c>
      <c r="E26" s="6"/>
      <c r="F26" s="6"/>
      <c r="G26" s="6"/>
      <c r="H26" s="6"/>
      <c r="I26" s="6"/>
      <c r="J26" s="6"/>
      <c r="K26" s="6"/>
      <c r="L26" s="5"/>
      <c r="M26" s="6"/>
      <c r="N26" s="5"/>
      <c r="O26" s="5"/>
      <c r="P26" s="5"/>
      <c r="Q26" s="5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ht="20.100000000000001" customHeight="1" x14ac:dyDescent="0.2">
      <c r="A27" s="7" t="s">
        <v>35</v>
      </c>
      <c r="B27" s="8"/>
      <c r="C27" s="9"/>
      <c r="D27" s="6">
        <v>158</v>
      </c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123"/>
      <c r="S27" s="123"/>
      <c r="T27" s="123"/>
      <c r="U27" s="123"/>
      <c r="V27" s="123"/>
      <c r="W27" s="123"/>
      <c r="X27" s="123"/>
      <c r="Y27" s="123"/>
      <c r="Z27" s="123"/>
    </row>
    <row r="28" spans="1:26" ht="20.100000000000001" customHeight="1" x14ac:dyDescent="0.2">
      <c r="A28" s="277" t="s">
        <v>36</v>
      </c>
      <c r="B28" s="278"/>
      <c r="C28" s="279"/>
      <c r="D28" s="79">
        <f t="shared" ref="D28:I28" si="1">SUM(D17:D27)</f>
        <v>25490</v>
      </c>
      <c r="E28" s="79">
        <f t="shared" si="1"/>
        <v>0</v>
      </c>
      <c r="F28" s="79">
        <f t="shared" si="1"/>
        <v>0</v>
      </c>
      <c r="G28" s="79">
        <f t="shared" si="1"/>
        <v>0</v>
      </c>
      <c r="H28" s="79">
        <f t="shared" si="1"/>
        <v>0</v>
      </c>
      <c r="I28" s="79">
        <f t="shared" si="1"/>
        <v>0</v>
      </c>
      <c r="J28" s="79"/>
      <c r="K28" s="79"/>
      <c r="L28" s="79">
        <f t="shared" ref="L28:R28" si="2">SUM(L17:L27)</f>
        <v>0</v>
      </c>
      <c r="M28" s="79"/>
      <c r="N28" s="79"/>
      <c r="O28" s="79"/>
      <c r="P28" s="79">
        <f t="shared" si="2"/>
        <v>0</v>
      </c>
      <c r="Q28" s="79">
        <f t="shared" si="2"/>
        <v>0</v>
      </c>
      <c r="R28" s="79">
        <f t="shared" si="2"/>
        <v>0</v>
      </c>
      <c r="S28" s="79">
        <f>SUM(S17:S27)</f>
        <v>1090</v>
      </c>
      <c r="T28" s="79">
        <f>SUM(T17:T27)</f>
        <v>1317</v>
      </c>
      <c r="U28" s="79"/>
      <c r="V28" s="79"/>
      <c r="W28" s="79"/>
      <c r="X28" s="79"/>
      <c r="Y28" s="79"/>
      <c r="Z28" s="79"/>
    </row>
    <row r="29" spans="1:26" ht="20.100000000000001" customHeight="1" x14ac:dyDescent="0.2">
      <c r="A29" s="7" t="s">
        <v>37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23"/>
      <c r="S29" s="123">
        <v>4610</v>
      </c>
      <c r="T29" s="123">
        <v>4668</v>
      </c>
      <c r="U29" s="123">
        <v>4815</v>
      </c>
      <c r="V29" s="123">
        <v>4430</v>
      </c>
      <c r="W29" s="123">
        <v>5656</v>
      </c>
      <c r="X29" s="123"/>
      <c r="Y29" s="123"/>
      <c r="Z29" s="123"/>
    </row>
    <row r="30" spans="1:26" ht="20.100000000000001" customHeight="1" x14ac:dyDescent="0.2">
      <c r="A30" s="10" t="s">
        <v>38</v>
      </c>
      <c r="B30" s="11"/>
      <c r="C30" s="12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ht="20.100000000000001" customHeight="1" x14ac:dyDescent="0.2">
      <c r="A31" s="7" t="s">
        <v>39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26" ht="20.100000000000001" customHeight="1" x14ac:dyDescent="0.2">
      <c r="A32" s="10" t="s">
        <v>40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ht="20.100000000000001" customHeight="1" x14ac:dyDescent="0.2">
      <c r="A33" s="7" t="s">
        <v>41</v>
      </c>
      <c r="B33" s="8"/>
      <c r="C33" s="9"/>
      <c r="D33" s="6">
        <v>49</v>
      </c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ht="20.100000000000001" customHeight="1" x14ac:dyDescent="0.2">
      <c r="A34" s="7" t="s">
        <v>42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ht="20.100000000000001" customHeight="1" x14ac:dyDescent="0.2">
      <c r="A35" s="7" t="s">
        <v>43</v>
      </c>
      <c r="B35" s="8"/>
      <c r="C35" s="9"/>
      <c r="D35" s="6">
        <v>23</v>
      </c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ht="20.100000000000001" customHeight="1" x14ac:dyDescent="0.2">
      <c r="A36" s="7" t="s">
        <v>44</v>
      </c>
      <c r="B36" s="8"/>
      <c r="C36" s="9"/>
      <c r="D36" s="6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6" ht="20.100000000000001" customHeight="1" x14ac:dyDescent="0.2">
      <c r="A37" s="277" t="s">
        <v>45</v>
      </c>
      <c r="B37" s="278"/>
      <c r="C37" s="279"/>
      <c r="D37" s="259">
        <v>75</v>
      </c>
      <c r="E37" s="259"/>
      <c r="F37" s="79">
        <f t="shared" ref="F37:L37" si="3">F33+F35</f>
        <v>0</v>
      </c>
      <c r="G37" s="79">
        <f t="shared" si="3"/>
        <v>0</v>
      </c>
      <c r="H37" s="79">
        <f t="shared" si="3"/>
        <v>0</v>
      </c>
      <c r="I37" s="79">
        <f t="shared" si="3"/>
        <v>0</v>
      </c>
      <c r="J37" s="79">
        <f t="shared" si="3"/>
        <v>0</v>
      </c>
      <c r="K37" s="79">
        <f t="shared" si="3"/>
        <v>0</v>
      </c>
      <c r="L37" s="79">
        <f t="shared" si="3"/>
        <v>0</v>
      </c>
      <c r="M37" s="97"/>
      <c r="N37" s="97"/>
      <c r="O37" s="97"/>
      <c r="P37" s="97"/>
      <c r="Q37" s="97"/>
      <c r="R37" s="155"/>
      <c r="S37" s="155"/>
      <c r="T37" s="155"/>
      <c r="U37" s="155"/>
      <c r="V37" s="155"/>
      <c r="W37" s="155"/>
      <c r="X37" s="155"/>
      <c r="Y37" s="155"/>
      <c r="Z37" s="155"/>
    </row>
    <row r="38" spans="1:26" ht="20.100000000000001" customHeight="1" x14ac:dyDescent="0.2">
      <c r="A38" s="7" t="s">
        <v>64</v>
      </c>
      <c r="B38" s="8"/>
      <c r="C38" s="9"/>
      <c r="D38" s="5">
        <v>3468</v>
      </c>
      <c r="E38" s="5"/>
      <c r="F38" s="5"/>
      <c r="G38" s="5"/>
      <c r="H38" s="5"/>
      <c r="I38" s="5"/>
      <c r="J38" s="57"/>
      <c r="K38" s="57"/>
      <c r="L38" s="5"/>
      <c r="M38" s="57"/>
      <c r="N38" s="5"/>
      <c r="O38" s="5"/>
      <c r="P38" s="5"/>
      <c r="Q38" s="5"/>
      <c r="R38" s="123"/>
      <c r="S38" s="123"/>
      <c r="T38" s="123"/>
      <c r="U38" s="123"/>
      <c r="V38" s="123"/>
      <c r="W38" s="123"/>
      <c r="X38" s="123"/>
      <c r="Y38" s="123"/>
      <c r="Z38" s="123"/>
    </row>
    <row r="39" spans="1:26" ht="20.100000000000001" customHeight="1" x14ac:dyDescent="0.2">
      <c r="A39" s="7" t="s">
        <v>47</v>
      </c>
      <c r="B39" s="8"/>
      <c r="C39" s="9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23"/>
      <c r="S39" s="123"/>
      <c r="T39" s="123"/>
      <c r="U39" s="123"/>
      <c r="V39" s="123"/>
      <c r="W39" s="123"/>
      <c r="X39" s="123"/>
      <c r="Y39" s="123"/>
      <c r="Z39" s="123"/>
    </row>
    <row r="40" spans="1:26" ht="20.100000000000001" customHeight="1" x14ac:dyDescent="0.2">
      <c r="A40" s="7" t="s">
        <v>117</v>
      </c>
      <c r="B40" s="8"/>
      <c r="C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23"/>
      <c r="S40" s="123"/>
      <c r="T40" s="123"/>
      <c r="U40" s="123"/>
      <c r="V40" s="123"/>
      <c r="W40" s="123"/>
      <c r="X40" s="123"/>
      <c r="Y40" s="123"/>
      <c r="Z40" s="123"/>
    </row>
    <row r="41" spans="1:26" ht="20.100000000000001" customHeight="1" x14ac:dyDescent="0.2">
      <c r="A41" s="7" t="s">
        <v>50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23"/>
      <c r="S41" s="123"/>
      <c r="T41" s="123"/>
      <c r="U41" s="123"/>
      <c r="V41" s="123"/>
      <c r="W41" s="123"/>
      <c r="X41" s="123"/>
      <c r="Y41" s="123"/>
      <c r="Z41" s="123"/>
    </row>
    <row r="42" spans="1:26" ht="20.100000000000001" customHeight="1" x14ac:dyDescent="0.2">
      <c r="A42" s="7" t="s">
        <v>51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23"/>
      <c r="S42" s="123"/>
      <c r="T42" s="123"/>
      <c r="U42" s="123"/>
      <c r="V42" s="123"/>
      <c r="W42" s="123"/>
      <c r="X42" s="123"/>
      <c r="Y42" s="123"/>
      <c r="Z42" s="123"/>
    </row>
    <row r="43" spans="1:26" ht="20.100000000000001" customHeight="1" x14ac:dyDescent="0.2">
      <c r="A43" s="7" t="s">
        <v>52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23"/>
      <c r="S43" s="123"/>
      <c r="T43" s="123"/>
      <c r="U43" s="123"/>
      <c r="V43" s="123"/>
      <c r="W43" s="123"/>
      <c r="X43" s="123"/>
      <c r="Y43" s="123"/>
      <c r="Z43" s="123"/>
    </row>
    <row r="44" spans="1:26" ht="20.100000000000001" customHeight="1" x14ac:dyDescent="0.2">
      <c r="A44" s="7" t="s">
        <v>53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23"/>
      <c r="S44" s="123"/>
      <c r="T44" s="123"/>
      <c r="U44" s="123"/>
      <c r="V44" s="123"/>
      <c r="W44" s="123"/>
      <c r="X44" s="123"/>
      <c r="Y44" s="123"/>
      <c r="Z44" s="123"/>
    </row>
    <row r="45" spans="1:26" ht="20.100000000000001" customHeight="1" x14ac:dyDescent="0.2">
      <c r="A45" s="7" t="s">
        <v>54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23"/>
      <c r="S45" s="123"/>
      <c r="T45" s="123"/>
      <c r="U45" s="123"/>
      <c r="V45" s="123"/>
      <c r="W45" s="123"/>
      <c r="X45" s="123"/>
      <c r="Y45" s="123"/>
      <c r="Z45" s="123"/>
    </row>
    <row r="46" spans="1:26" ht="20.100000000000001" customHeight="1" x14ac:dyDescent="0.2">
      <c r="A46" s="277" t="s">
        <v>55</v>
      </c>
      <c r="B46" s="278"/>
      <c r="C46" s="279"/>
      <c r="D46" s="259">
        <v>34968</v>
      </c>
      <c r="E46" s="259"/>
      <c r="F46" s="259"/>
      <c r="G46" s="259"/>
      <c r="H46" s="259"/>
      <c r="I46" s="79">
        <f>I37+I28+I16</f>
        <v>0</v>
      </c>
      <c r="J46" s="79">
        <f>J37+J28+J16</f>
        <v>0</v>
      </c>
      <c r="K46" s="79">
        <f>K37+K28+K16</f>
        <v>0</v>
      </c>
      <c r="L46" s="79">
        <f>L37+L28+L16</f>
        <v>0</v>
      </c>
      <c r="M46" s="79">
        <f>M37+M28+M16</f>
        <v>0</v>
      </c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</row>
    <row r="47" spans="1:26" x14ac:dyDescent="0.2">
      <c r="F47" t="s">
        <v>32</v>
      </c>
      <c r="G47" t="s">
        <v>32</v>
      </c>
    </row>
  </sheetData>
  <mergeCells count="1">
    <mergeCell ref="A2:I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47"/>
  <sheetViews>
    <sheetView topLeftCell="A4" zoomScale="95" workbookViewId="0">
      <pane xSplit="3" ySplit="2" topLeftCell="D6" activePane="bottomRight" state="frozen"/>
      <selection pane="topRight" activeCell="A11" sqref="A11:M11"/>
      <selection pane="bottomLeft" activeCell="A11" sqref="A11:M11"/>
      <selection pane="bottomRight" activeCell="V24" sqref="V24"/>
    </sheetView>
  </sheetViews>
  <sheetFormatPr defaultColWidth="11.42578125" defaultRowHeight="12.75" x14ac:dyDescent="0.2"/>
  <cols>
    <col min="1" max="1" width="11.42578125" customWidth="1"/>
    <col min="2" max="2" width="14.42578125" customWidth="1"/>
    <col min="3" max="3" width="6.28515625" customWidth="1"/>
    <col min="4" max="4" width="1.7109375" customWidth="1"/>
    <col min="5" max="8" width="11.42578125" hidden="1" customWidth="1"/>
    <col min="9" max="9" width="11.5703125" hidden="1" customWidth="1"/>
    <col min="10" max="10" width="10.42578125" hidden="1" customWidth="1"/>
    <col min="11" max="17" width="11.42578125" hidden="1" customWidth="1"/>
    <col min="18" max="18" width="11.42578125" style="146" hidden="1" customWidth="1"/>
    <col min="19" max="23" width="11.42578125" style="146" customWidth="1"/>
  </cols>
  <sheetData>
    <row r="1" spans="1:26" ht="17.100000000000001" customHeight="1" x14ac:dyDescent="0.25">
      <c r="A1" s="69" t="s">
        <v>114</v>
      </c>
      <c r="B1" s="70"/>
      <c r="C1" s="70"/>
      <c r="D1" s="70"/>
      <c r="E1" s="1"/>
      <c r="F1" s="1"/>
      <c r="G1" s="1"/>
      <c r="H1" s="1"/>
      <c r="I1" s="1"/>
    </row>
    <row r="2" spans="1:26" ht="17.100000000000001" customHeight="1" x14ac:dyDescent="0.25">
      <c r="A2" s="292" t="s">
        <v>10</v>
      </c>
      <c r="B2" s="292"/>
      <c r="C2" s="292"/>
      <c r="D2" s="292"/>
      <c r="E2" s="292"/>
      <c r="F2" s="292"/>
      <c r="G2" s="292"/>
      <c r="H2" s="292"/>
      <c r="I2" s="292"/>
    </row>
    <row r="3" spans="1:26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26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26" s="16" customFormat="1" ht="20.100000000000001" customHeight="1" x14ac:dyDescent="0.25">
      <c r="A5" s="91" t="s">
        <v>11</v>
      </c>
      <c r="B5" s="92"/>
      <c r="C5" s="9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74">
        <v>2002</v>
      </c>
      <c r="J5" s="74">
        <v>2003</v>
      </c>
      <c r="K5" s="74">
        <v>2004</v>
      </c>
      <c r="L5" s="74">
        <v>2005</v>
      </c>
      <c r="M5" s="74">
        <v>2006</v>
      </c>
      <c r="N5" s="74">
        <v>2007</v>
      </c>
      <c r="O5" s="74">
        <v>2008</v>
      </c>
      <c r="P5" s="74">
        <v>2009</v>
      </c>
      <c r="Q5" s="74">
        <v>2010</v>
      </c>
      <c r="R5" s="74">
        <v>2011</v>
      </c>
      <c r="S5" s="74">
        <v>2012</v>
      </c>
      <c r="T5" s="74">
        <v>2013</v>
      </c>
      <c r="U5" s="74">
        <v>2014</v>
      </c>
      <c r="V5" s="74">
        <v>2015</v>
      </c>
      <c r="W5" s="74">
        <v>2016</v>
      </c>
      <c r="X5" s="74">
        <v>2017</v>
      </c>
      <c r="Y5" s="74">
        <v>2018</v>
      </c>
      <c r="Z5" s="74">
        <v>2019</v>
      </c>
    </row>
    <row r="6" spans="1:26" ht="20.100000000000001" customHeight="1" x14ac:dyDescent="0.2">
      <c r="A6" s="7" t="s">
        <v>13</v>
      </c>
      <c r="B6" s="8"/>
      <c r="C6" s="9"/>
      <c r="D6" s="6">
        <v>1137</v>
      </c>
      <c r="E6" s="6"/>
      <c r="F6" s="6"/>
      <c r="G6" s="6"/>
      <c r="H6" s="6"/>
      <c r="I6" s="6"/>
      <c r="J6" s="6"/>
      <c r="K6" s="6"/>
      <c r="L6" s="5"/>
      <c r="M6" s="6"/>
      <c r="N6" s="5"/>
      <c r="O6" s="5"/>
      <c r="P6" s="5"/>
      <c r="Q6" s="5"/>
      <c r="R6" s="123"/>
      <c r="S6" s="123"/>
      <c r="T6" s="123"/>
      <c r="U6" s="123"/>
      <c r="V6" s="123"/>
      <c r="W6" s="123"/>
      <c r="X6" s="123"/>
      <c r="Y6" s="123"/>
      <c r="Z6" s="123"/>
    </row>
    <row r="7" spans="1:26" ht="20.100000000000001" customHeight="1" x14ac:dyDescent="0.2">
      <c r="A7" s="7" t="s">
        <v>14</v>
      </c>
      <c r="B7" s="8"/>
      <c r="C7" s="9"/>
      <c r="D7" s="6">
        <v>105</v>
      </c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123"/>
      <c r="S7" s="123"/>
      <c r="T7" s="123"/>
      <c r="U7" s="123"/>
      <c r="V7" s="123"/>
      <c r="W7" s="123"/>
      <c r="X7" s="123"/>
      <c r="Y7" s="123"/>
      <c r="Z7" s="123"/>
    </row>
    <row r="8" spans="1:26" ht="20.100000000000001" customHeight="1" x14ac:dyDescent="0.2">
      <c r="A8" s="7" t="s">
        <v>58</v>
      </c>
      <c r="B8" s="8"/>
      <c r="C8" s="9"/>
      <c r="D8" s="6">
        <v>58</v>
      </c>
      <c r="E8" s="6"/>
      <c r="F8" s="6"/>
      <c r="G8" s="6"/>
      <c r="H8" s="6"/>
      <c r="I8" s="6"/>
      <c r="J8" s="6"/>
      <c r="K8" s="5"/>
      <c r="L8" s="5"/>
      <c r="M8" s="5"/>
      <c r="N8" s="5"/>
      <c r="O8" s="5"/>
      <c r="P8" s="5"/>
      <c r="Q8" s="5"/>
      <c r="R8" s="123"/>
      <c r="S8" s="123"/>
      <c r="T8" s="123"/>
      <c r="U8" s="123"/>
      <c r="V8" s="123"/>
      <c r="W8" s="123"/>
      <c r="X8" s="123"/>
      <c r="Y8" s="123"/>
      <c r="Z8" s="123"/>
    </row>
    <row r="9" spans="1:26" ht="20.100000000000001" customHeight="1" x14ac:dyDescent="0.2">
      <c r="A9" s="7" t="s">
        <v>115</v>
      </c>
      <c r="B9" s="8"/>
      <c r="C9" s="9"/>
      <c r="D9" s="6">
        <v>483</v>
      </c>
      <c r="E9" s="6"/>
      <c r="F9" s="6"/>
      <c r="G9" s="6"/>
      <c r="H9" s="6"/>
      <c r="I9" s="6"/>
      <c r="J9" s="6"/>
      <c r="K9" s="5"/>
      <c r="L9" s="5"/>
      <c r="M9" s="5"/>
      <c r="N9" s="5"/>
      <c r="O9" s="5"/>
      <c r="P9" s="5"/>
      <c r="Q9" s="5"/>
      <c r="R9" s="123"/>
      <c r="S9" s="123"/>
      <c r="T9" s="123"/>
      <c r="U9" s="123"/>
      <c r="V9" s="123"/>
      <c r="W9" s="123"/>
      <c r="X9" s="123"/>
      <c r="Y9" s="123"/>
      <c r="Z9" s="123"/>
    </row>
    <row r="10" spans="1:26" ht="20.100000000000001" customHeight="1" x14ac:dyDescent="0.2">
      <c r="A10" s="7" t="s">
        <v>116</v>
      </c>
      <c r="B10" s="8"/>
      <c r="C10" s="9"/>
      <c r="D10" s="6">
        <v>134</v>
      </c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123"/>
      <c r="S10" s="123"/>
      <c r="T10" s="123"/>
      <c r="U10" s="123"/>
      <c r="V10" s="123"/>
      <c r="W10" s="123"/>
      <c r="X10" s="123"/>
      <c r="Y10" s="123"/>
      <c r="Z10" s="123"/>
    </row>
    <row r="11" spans="1:26" ht="20.100000000000001" customHeight="1" x14ac:dyDescent="0.2">
      <c r="A11" s="7" t="s">
        <v>59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123"/>
      <c r="S11" s="123"/>
      <c r="T11" s="123"/>
      <c r="U11" s="123"/>
      <c r="V11" s="123"/>
      <c r="W11" s="123"/>
      <c r="X11" s="123"/>
      <c r="Y11" s="123"/>
      <c r="Z11" s="123"/>
    </row>
    <row r="12" spans="1:26" ht="20.100000000000001" customHeight="1" x14ac:dyDescent="0.2">
      <c r="A12" s="7" t="s">
        <v>19</v>
      </c>
      <c r="B12" s="8"/>
      <c r="C12" s="9"/>
      <c r="D12" s="6">
        <v>511</v>
      </c>
      <c r="E12" s="6"/>
      <c r="F12" s="6"/>
      <c r="G12" s="6"/>
      <c r="H12" s="6"/>
      <c r="I12" s="6"/>
      <c r="J12" s="6"/>
      <c r="K12" s="5"/>
      <c r="L12" s="5"/>
      <c r="M12" s="5"/>
      <c r="N12" s="5"/>
      <c r="O12" s="5"/>
      <c r="P12" s="5"/>
      <c r="Q12" s="5"/>
      <c r="R12" s="123"/>
      <c r="S12" s="123"/>
      <c r="T12" s="123"/>
      <c r="U12" s="123"/>
      <c r="V12" s="123"/>
      <c r="W12" s="123"/>
      <c r="X12" s="123"/>
      <c r="Y12" s="123"/>
      <c r="Z12" s="123"/>
    </row>
    <row r="13" spans="1:26" ht="20.100000000000001" customHeight="1" x14ac:dyDescent="0.2">
      <c r="A13" s="7" t="s">
        <v>20</v>
      </c>
      <c r="B13" s="8"/>
      <c r="C13" s="9"/>
      <c r="D13" s="6">
        <v>3507</v>
      </c>
      <c r="E13" s="6"/>
      <c r="F13" s="6"/>
      <c r="G13" s="6"/>
      <c r="H13" s="6"/>
      <c r="I13" s="6"/>
      <c r="J13" s="6"/>
      <c r="K13" s="6"/>
      <c r="L13" s="5"/>
      <c r="M13" s="6"/>
      <c r="N13" s="5"/>
      <c r="O13" s="5"/>
      <c r="P13" s="5"/>
      <c r="Q13" s="5"/>
      <c r="R13" s="123"/>
      <c r="S13" s="123"/>
      <c r="T13" s="123"/>
      <c r="U13" s="123"/>
      <c r="V13" s="123"/>
      <c r="W13" s="123"/>
      <c r="X13" s="123"/>
      <c r="Y13" s="123"/>
      <c r="Z13" s="123"/>
    </row>
    <row r="14" spans="1:26" ht="20.100000000000001" customHeight="1" x14ac:dyDescent="0.2">
      <c r="A14" s="7" t="s">
        <v>22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123"/>
      <c r="S14" s="123"/>
      <c r="T14" s="123"/>
      <c r="U14" s="123"/>
      <c r="V14" s="123"/>
      <c r="W14" s="123"/>
      <c r="X14" s="123"/>
      <c r="Y14" s="123"/>
      <c r="Z14" s="123"/>
    </row>
    <row r="15" spans="1:26" ht="20.100000000000001" customHeight="1" x14ac:dyDescent="0.2">
      <c r="A15" s="7" t="s">
        <v>23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123"/>
      <c r="S15" s="123"/>
      <c r="T15" s="123"/>
      <c r="U15" s="123"/>
      <c r="V15" s="123"/>
      <c r="W15" s="123"/>
      <c r="X15" s="123"/>
      <c r="Y15" s="123"/>
      <c r="Z15" s="123"/>
    </row>
    <row r="16" spans="1:26" ht="20.100000000000001" customHeight="1" x14ac:dyDescent="0.2">
      <c r="A16" s="277" t="s">
        <v>24</v>
      </c>
      <c r="B16" s="278"/>
      <c r="C16" s="279"/>
      <c r="D16" s="79">
        <f t="shared" ref="D16:K16" si="0">SUM(D6:D15)</f>
        <v>5935</v>
      </c>
      <c r="E16" s="79">
        <f t="shared" si="0"/>
        <v>0</v>
      </c>
      <c r="F16" s="79">
        <f t="shared" si="0"/>
        <v>0</v>
      </c>
      <c r="G16" s="79">
        <f t="shared" si="0"/>
        <v>0</v>
      </c>
      <c r="H16" s="79">
        <f t="shared" si="0"/>
        <v>0</v>
      </c>
      <c r="I16" s="79">
        <f t="shared" si="0"/>
        <v>0</v>
      </c>
      <c r="J16" s="79">
        <f t="shared" si="0"/>
        <v>0</v>
      </c>
      <c r="K16" s="79">
        <f t="shared" si="0"/>
        <v>0</v>
      </c>
      <c r="L16" s="97"/>
      <c r="M16" s="79"/>
      <c r="N16" s="97"/>
      <c r="O16" s="97"/>
      <c r="P16" s="97"/>
      <c r="Q16" s="97"/>
      <c r="R16" s="155"/>
      <c r="S16" s="155"/>
      <c r="T16" s="155"/>
      <c r="U16" s="155"/>
      <c r="V16" s="155"/>
      <c r="W16" s="155"/>
      <c r="X16" s="155"/>
      <c r="Y16" s="155"/>
      <c r="Z16" s="155"/>
    </row>
    <row r="17" spans="1:26" ht="20.100000000000001" customHeight="1" x14ac:dyDescent="0.2">
      <c r="A17" s="7" t="s">
        <v>25</v>
      </c>
      <c r="B17" s="8"/>
      <c r="C17" s="9"/>
      <c r="D17" s="6">
        <v>16</v>
      </c>
      <c r="E17" s="6"/>
      <c r="F17" s="6"/>
      <c r="G17" s="6"/>
      <c r="H17" s="6"/>
      <c r="I17" s="6"/>
      <c r="J17" s="6"/>
      <c r="K17" s="5"/>
      <c r="L17" s="5"/>
      <c r="M17" s="5"/>
      <c r="N17" s="5"/>
      <c r="O17" s="5"/>
      <c r="P17" s="5"/>
      <c r="Q17" s="5"/>
      <c r="R17" s="123"/>
      <c r="S17" s="123"/>
      <c r="T17" s="123"/>
      <c r="U17" s="123"/>
      <c r="V17" s="123"/>
      <c r="W17" s="123"/>
      <c r="X17" s="123"/>
      <c r="Y17" s="123"/>
      <c r="Z17" s="123"/>
    </row>
    <row r="18" spans="1:26" ht="20.100000000000001" customHeight="1" x14ac:dyDescent="0.2">
      <c r="A18" s="7" t="s">
        <v>26</v>
      </c>
      <c r="B18" s="8"/>
      <c r="C18" s="9"/>
      <c r="D18" s="6">
        <v>4</v>
      </c>
      <c r="E18" s="6"/>
      <c r="F18" s="6"/>
      <c r="G18" s="6"/>
      <c r="H18" s="6"/>
      <c r="I18" s="6"/>
      <c r="J18" s="6"/>
      <c r="K18" s="5"/>
      <c r="L18" s="5"/>
      <c r="M18" s="5"/>
      <c r="N18" s="5"/>
      <c r="O18" s="5"/>
      <c r="P18" s="5"/>
      <c r="Q18" s="5"/>
      <c r="R18" s="123"/>
      <c r="S18" s="123"/>
      <c r="T18" s="123"/>
      <c r="U18" s="123"/>
      <c r="V18" s="123"/>
      <c r="W18" s="123"/>
      <c r="X18" s="123"/>
      <c r="Y18" s="123"/>
      <c r="Z18" s="123"/>
    </row>
    <row r="19" spans="1:26" ht="20.100000000000001" customHeight="1" x14ac:dyDescent="0.2">
      <c r="A19" s="25" t="s">
        <v>27</v>
      </c>
      <c r="B19" s="8"/>
      <c r="C19" s="9"/>
      <c r="D19" s="6">
        <v>2345</v>
      </c>
      <c r="E19" s="6"/>
      <c r="F19" s="6"/>
      <c r="G19" s="6"/>
      <c r="H19" s="6"/>
      <c r="I19" s="6"/>
      <c r="J19" s="6"/>
      <c r="K19" s="6"/>
      <c r="L19" s="5"/>
      <c r="M19" s="6"/>
      <c r="N19" s="5"/>
      <c r="O19" s="5"/>
      <c r="P19" s="5"/>
      <c r="Q19" s="5"/>
      <c r="R19" s="123"/>
      <c r="S19" s="123"/>
      <c r="T19" s="123"/>
      <c r="U19" s="123"/>
      <c r="V19" s="123"/>
      <c r="W19" s="123"/>
      <c r="X19" s="123"/>
      <c r="Y19" s="123"/>
      <c r="Z19" s="123"/>
    </row>
    <row r="20" spans="1:26" ht="20.100000000000001" customHeight="1" x14ac:dyDescent="0.2">
      <c r="A20" s="7" t="s">
        <v>28</v>
      </c>
      <c r="B20" s="8"/>
      <c r="C20" s="9"/>
      <c r="D20" s="6">
        <v>1570</v>
      </c>
      <c r="E20" s="6"/>
      <c r="F20" s="6"/>
      <c r="G20" s="6"/>
      <c r="H20" s="6"/>
      <c r="I20" s="6"/>
      <c r="J20" s="6"/>
      <c r="K20" s="6"/>
      <c r="L20" s="5"/>
      <c r="M20" s="6"/>
      <c r="N20" s="5"/>
      <c r="O20" s="5"/>
      <c r="P20" s="5"/>
      <c r="Q20" s="5"/>
      <c r="R20" s="123"/>
      <c r="S20" s="123"/>
      <c r="T20" s="123"/>
      <c r="U20" s="123"/>
      <c r="V20" s="123"/>
      <c r="W20" s="123"/>
      <c r="X20" s="123"/>
      <c r="Y20" s="123"/>
      <c r="Z20" s="123"/>
    </row>
    <row r="21" spans="1:26" ht="20.100000000000001" customHeight="1" x14ac:dyDescent="0.2">
      <c r="A21" s="7" t="s">
        <v>29</v>
      </c>
      <c r="B21" s="8"/>
      <c r="C21" s="9"/>
      <c r="D21" s="6">
        <v>63</v>
      </c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123"/>
      <c r="S21" s="123"/>
      <c r="T21" s="123"/>
      <c r="U21" s="123"/>
      <c r="V21" s="123"/>
      <c r="W21" s="123"/>
      <c r="X21" s="123"/>
      <c r="Y21" s="123"/>
      <c r="Z21" s="123"/>
    </row>
    <row r="22" spans="1:26" ht="20.100000000000001" customHeight="1" x14ac:dyDescent="0.2">
      <c r="A22" s="120" t="s">
        <v>30</v>
      </c>
      <c r="B22" s="8"/>
      <c r="C22" s="9"/>
      <c r="D22" s="6">
        <v>30</v>
      </c>
      <c r="E22" s="6"/>
      <c r="F22" s="6"/>
      <c r="G22" s="6"/>
      <c r="H22" s="6"/>
      <c r="I22" s="6"/>
      <c r="J22" s="6"/>
      <c r="K22" s="5"/>
      <c r="L22" s="5"/>
      <c r="M22" s="5"/>
      <c r="N22" s="5"/>
      <c r="O22" s="5"/>
      <c r="P22" s="5"/>
      <c r="Q22" s="5"/>
      <c r="R22" s="123"/>
      <c r="S22" s="123"/>
      <c r="T22" s="123"/>
      <c r="U22" s="123"/>
      <c r="V22" s="123"/>
      <c r="W22" s="123"/>
      <c r="X22" s="123"/>
      <c r="Y22" s="123"/>
      <c r="Z22" s="123"/>
    </row>
    <row r="23" spans="1:26" ht="20.100000000000001" customHeight="1" x14ac:dyDescent="0.2">
      <c r="A23" s="120" t="s">
        <v>31</v>
      </c>
      <c r="B23" s="8"/>
      <c r="C23" s="9"/>
      <c r="D23" s="6">
        <v>763</v>
      </c>
      <c r="E23" s="6"/>
      <c r="F23" s="6"/>
      <c r="G23" s="6"/>
      <c r="H23" s="6"/>
      <c r="I23" s="6"/>
      <c r="J23" s="6"/>
      <c r="K23" s="6"/>
      <c r="L23" s="5"/>
      <c r="M23" s="6"/>
      <c r="N23" s="5"/>
      <c r="O23" s="5"/>
      <c r="P23" s="5"/>
      <c r="Q23" s="5"/>
      <c r="R23" s="123"/>
      <c r="S23" s="123"/>
      <c r="T23" s="123"/>
      <c r="U23" s="123"/>
      <c r="V23" s="123"/>
      <c r="W23" s="123"/>
      <c r="X23" s="123"/>
      <c r="Y23" s="123"/>
      <c r="Z23" s="123"/>
    </row>
    <row r="24" spans="1:26" ht="20.100000000000001" customHeight="1" x14ac:dyDescent="0.2">
      <c r="A24" s="7" t="s">
        <v>33</v>
      </c>
      <c r="B24" s="8"/>
      <c r="C24" s="9"/>
      <c r="D24" s="6">
        <v>16794</v>
      </c>
      <c r="E24" s="6"/>
      <c r="F24" s="6"/>
      <c r="G24" s="6"/>
      <c r="H24" s="6"/>
      <c r="I24" s="6"/>
      <c r="J24" s="6"/>
      <c r="K24" s="6"/>
      <c r="L24" s="5"/>
      <c r="M24" s="6"/>
      <c r="N24" s="5"/>
      <c r="O24" s="5"/>
      <c r="P24" s="5"/>
      <c r="Q24" s="5"/>
      <c r="R24" s="123"/>
      <c r="S24" s="123">
        <v>4406</v>
      </c>
      <c r="T24" s="123">
        <v>4891</v>
      </c>
      <c r="U24" s="123">
        <v>6257</v>
      </c>
      <c r="V24" s="123">
        <v>6862</v>
      </c>
      <c r="W24" s="123">
        <v>6852</v>
      </c>
      <c r="X24" s="123"/>
      <c r="Y24" s="123"/>
      <c r="Z24" s="123"/>
    </row>
    <row r="25" spans="1:26" ht="20.100000000000001" customHeight="1" x14ac:dyDescent="0.2">
      <c r="A25" s="7" t="s">
        <v>60</v>
      </c>
      <c r="B25" s="8"/>
      <c r="C25" s="9"/>
      <c r="D25" s="6">
        <v>99</v>
      </c>
      <c r="E25" s="6"/>
      <c r="F25" s="6"/>
      <c r="G25" s="6"/>
      <c r="H25" s="6"/>
      <c r="I25" s="6"/>
      <c r="J25" s="6"/>
      <c r="K25" s="5"/>
      <c r="L25" s="5"/>
      <c r="M25" s="5"/>
      <c r="N25" s="5"/>
      <c r="O25" s="5"/>
      <c r="P25" s="5"/>
      <c r="Q25" s="5"/>
      <c r="R25" s="123"/>
      <c r="S25" s="123"/>
      <c r="T25" s="123"/>
      <c r="U25" s="123"/>
      <c r="V25" s="123"/>
      <c r="W25" s="123"/>
      <c r="X25" s="123"/>
      <c r="Y25" s="123"/>
      <c r="Z25" s="123"/>
    </row>
    <row r="26" spans="1:26" ht="20.100000000000001" customHeight="1" x14ac:dyDescent="0.2">
      <c r="A26" s="7" t="s">
        <v>34</v>
      </c>
      <c r="B26" s="8"/>
      <c r="C26" s="9"/>
      <c r="D26" s="6">
        <v>3648</v>
      </c>
      <c r="E26" s="6"/>
      <c r="F26" s="6"/>
      <c r="G26" s="6"/>
      <c r="H26" s="6"/>
      <c r="I26" s="6"/>
      <c r="J26" s="6"/>
      <c r="K26" s="6"/>
      <c r="L26" s="5"/>
      <c r="M26" s="6"/>
      <c r="N26" s="5"/>
      <c r="O26" s="5"/>
      <c r="P26" s="5"/>
      <c r="Q26" s="5"/>
      <c r="R26" s="123"/>
      <c r="S26" s="123"/>
      <c r="T26" s="123"/>
      <c r="U26" s="123"/>
      <c r="V26" s="123"/>
      <c r="W26" s="123"/>
      <c r="X26" s="123"/>
      <c r="Y26" s="123"/>
      <c r="Z26" s="123"/>
    </row>
    <row r="27" spans="1:26" ht="20.100000000000001" customHeight="1" x14ac:dyDescent="0.2">
      <c r="A27" s="7" t="s">
        <v>35</v>
      </c>
      <c r="B27" s="8"/>
      <c r="C27" s="9"/>
      <c r="D27" s="6">
        <v>158</v>
      </c>
      <c r="E27" s="6"/>
      <c r="F27" s="6"/>
      <c r="G27" s="6"/>
      <c r="H27" s="6"/>
      <c r="I27" s="6"/>
      <c r="J27" s="6"/>
      <c r="K27" s="6"/>
      <c r="L27" s="6"/>
      <c r="M27" s="6"/>
      <c r="N27" s="5"/>
      <c r="O27" s="5"/>
      <c r="P27" s="5"/>
      <c r="Q27" s="5"/>
      <c r="R27" s="123"/>
      <c r="S27" s="123"/>
      <c r="T27" s="123"/>
      <c r="U27" s="123"/>
      <c r="V27" s="123"/>
      <c r="W27" s="123"/>
      <c r="X27" s="123"/>
      <c r="Y27" s="123"/>
      <c r="Z27" s="123"/>
    </row>
    <row r="28" spans="1:26" ht="20.100000000000001" customHeight="1" x14ac:dyDescent="0.2">
      <c r="A28" s="277" t="s">
        <v>36</v>
      </c>
      <c r="B28" s="278"/>
      <c r="C28" s="279"/>
      <c r="D28" s="79">
        <f t="shared" ref="D28:I28" si="1">SUM(D17:D27)</f>
        <v>25490</v>
      </c>
      <c r="E28" s="79">
        <f t="shared" si="1"/>
        <v>0</v>
      </c>
      <c r="F28" s="79">
        <f t="shared" si="1"/>
        <v>0</v>
      </c>
      <c r="G28" s="79">
        <f t="shared" si="1"/>
        <v>0</v>
      </c>
      <c r="H28" s="79">
        <f t="shared" si="1"/>
        <v>0</v>
      </c>
      <c r="I28" s="79">
        <f t="shared" si="1"/>
        <v>0</v>
      </c>
      <c r="J28" s="79"/>
      <c r="K28" s="79"/>
      <c r="L28" s="79">
        <f t="shared" ref="L28:R28" si="2">SUM(L17:L27)</f>
        <v>0</v>
      </c>
      <c r="M28" s="79"/>
      <c r="N28" s="79"/>
      <c r="O28" s="79"/>
      <c r="P28" s="79">
        <f t="shared" si="2"/>
        <v>0</v>
      </c>
      <c r="Q28" s="79">
        <f t="shared" si="2"/>
        <v>0</v>
      </c>
      <c r="R28" s="79">
        <f t="shared" si="2"/>
        <v>0</v>
      </c>
      <c r="S28" s="79">
        <f>SUM(S17:S27)</f>
        <v>4406</v>
      </c>
      <c r="T28" s="79">
        <f>SUM(T17:T27)</f>
        <v>4891</v>
      </c>
      <c r="U28" s="79"/>
      <c r="V28" s="79"/>
      <c r="W28" s="79"/>
      <c r="X28" s="79"/>
      <c r="Y28" s="79"/>
      <c r="Z28" s="79"/>
    </row>
    <row r="29" spans="1:26" ht="20.100000000000001" customHeight="1" x14ac:dyDescent="0.2">
      <c r="A29" s="7" t="s">
        <v>37</v>
      </c>
      <c r="B29" s="8"/>
      <c r="C29" s="9"/>
      <c r="D29" s="6">
        <v>3</v>
      </c>
      <c r="E29" s="6"/>
      <c r="F29" s="6"/>
      <c r="G29" s="6"/>
      <c r="H29" s="6"/>
      <c r="I29" s="6"/>
      <c r="J29" s="6"/>
      <c r="K29" s="5"/>
      <c r="L29" s="5"/>
      <c r="M29" s="5"/>
      <c r="N29" s="5"/>
      <c r="O29" s="5"/>
      <c r="P29" s="5"/>
      <c r="Q29" s="5"/>
      <c r="R29" s="123"/>
      <c r="S29" s="123">
        <v>924</v>
      </c>
      <c r="T29" s="123">
        <v>1737</v>
      </c>
      <c r="U29" s="123">
        <v>1871</v>
      </c>
      <c r="V29" s="123">
        <v>2743</v>
      </c>
      <c r="W29" s="123">
        <v>3628</v>
      </c>
      <c r="X29" s="123"/>
      <c r="Y29" s="123"/>
      <c r="Z29" s="123"/>
    </row>
    <row r="30" spans="1:26" ht="20.100000000000001" customHeight="1" x14ac:dyDescent="0.2">
      <c r="A30" s="10" t="s">
        <v>38</v>
      </c>
      <c r="B30" s="11"/>
      <c r="C30" s="12"/>
      <c r="D30" s="6"/>
      <c r="E30" s="6"/>
      <c r="F30" s="6"/>
      <c r="G30" s="6"/>
      <c r="H30" s="6"/>
      <c r="I30" s="6"/>
      <c r="J30" s="6"/>
      <c r="K30" s="5"/>
      <c r="L30" s="5"/>
      <c r="M30" s="5"/>
      <c r="N30" s="5"/>
      <c r="O30" s="5"/>
      <c r="P30" s="5"/>
      <c r="Q30" s="5"/>
      <c r="R30" s="123"/>
      <c r="S30" s="123"/>
      <c r="T30" s="123"/>
      <c r="U30" s="123"/>
      <c r="V30" s="123"/>
      <c r="W30" s="123"/>
      <c r="X30" s="123"/>
      <c r="Y30" s="123"/>
      <c r="Z30" s="123"/>
    </row>
    <row r="31" spans="1:26" ht="20.100000000000001" customHeight="1" x14ac:dyDescent="0.2">
      <c r="A31" s="7" t="s">
        <v>39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123"/>
      <c r="S31" s="123"/>
      <c r="T31" s="123"/>
      <c r="U31" s="123"/>
      <c r="V31" s="123"/>
      <c r="W31" s="123"/>
      <c r="X31" s="123"/>
      <c r="Y31" s="123"/>
      <c r="Z31" s="123"/>
    </row>
    <row r="32" spans="1:26" ht="20.100000000000001" customHeight="1" x14ac:dyDescent="0.2">
      <c r="A32" s="10" t="s">
        <v>40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123"/>
      <c r="S32" s="123"/>
      <c r="T32" s="123"/>
      <c r="U32" s="123"/>
      <c r="V32" s="123"/>
      <c r="W32" s="123"/>
      <c r="X32" s="123"/>
      <c r="Y32" s="123"/>
      <c r="Z32" s="123"/>
    </row>
    <row r="33" spans="1:26" ht="20.100000000000001" customHeight="1" x14ac:dyDescent="0.2">
      <c r="A33" s="7" t="s">
        <v>41</v>
      </c>
      <c r="B33" s="8"/>
      <c r="C33" s="9"/>
      <c r="D33" s="6">
        <v>49</v>
      </c>
      <c r="E33" s="6"/>
      <c r="F33" s="6"/>
      <c r="G33" s="6"/>
      <c r="H33" s="6"/>
      <c r="I33" s="6"/>
      <c r="J33" s="6"/>
      <c r="K33" s="5"/>
      <c r="L33" s="5"/>
      <c r="M33" s="5"/>
      <c r="N33" s="5"/>
      <c r="O33" s="5"/>
      <c r="P33" s="5"/>
      <c r="Q33" s="5"/>
      <c r="R33" s="123"/>
      <c r="S33" s="123"/>
      <c r="T33" s="123"/>
      <c r="U33" s="123"/>
      <c r="V33" s="123"/>
      <c r="W33" s="123"/>
      <c r="X33" s="123"/>
      <c r="Y33" s="123"/>
      <c r="Z33" s="123"/>
    </row>
    <row r="34" spans="1:26" ht="20.100000000000001" customHeight="1" x14ac:dyDescent="0.2">
      <c r="A34" s="7" t="s">
        <v>42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/>
      <c r="R34" s="123"/>
      <c r="S34" s="123"/>
      <c r="T34" s="123"/>
      <c r="U34" s="123"/>
      <c r="V34" s="123"/>
      <c r="W34" s="123"/>
      <c r="X34" s="123"/>
      <c r="Y34" s="123"/>
      <c r="Z34" s="123"/>
    </row>
    <row r="35" spans="1:26" ht="20.100000000000001" customHeight="1" x14ac:dyDescent="0.2">
      <c r="A35" s="7" t="s">
        <v>43</v>
      </c>
      <c r="B35" s="8"/>
      <c r="C35" s="9"/>
      <c r="D35" s="6">
        <v>23</v>
      </c>
      <c r="E35" s="6"/>
      <c r="F35" s="6"/>
      <c r="G35" s="6"/>
      <c r="H35" s="6"/>
      <c r="I35" s="6"/>
      <c r="J35" s="6"/>
      <c r="K35" s="5"/>
      <c r="L35" s="5"/>
      <c r="M35" s="5"/>
      <c r="N35" s="5"/>
      <c r="O35" s="5"/>
      <c r="P35" s="5"/>
      <c r="Q35" s="5"/>
      <c r="R35" s="123"/>
      <c r="S35" s="123"/>
      <c r="T35" s="123"/>
      <c r="U35" s="123"/>
      <c r="V35" s="123"/>
      <c r="W35" s="123"/>
      <c r="X35" s="123"/>
      <c r="Y35" s="123"/>
      <c r="Z35" s="123"/>
    </row>
    <row r="36" spans="1:26" ht="20.100000000000001" customHeight="1" x14ac:dyDescent="0.2">
      <c r="A36" s="7" t="s">
        <v>44</v>
      </c>
      <c r="B36" s="8"/>
      <c r="C36" s="9"/>
      <c r="D36" s="6"/>
      <c r="E36" s="6"/>
      <c r="F36" s="6"/>
      <c r="G36" s="6"/>
      <c r="H36" s="6"/>
      <c r="I36" s="6"/>
      <c r="J36" s="6"/>
      <c r="K36" s="5"/>
      <c r="L36" s="5"/>
      <c r="M36" s="5"/>
      <c r="N36" s="5"/>
      <c r="O36" s="5"/>
      <c r="P36" s="5"/>
      <c r="Q36" s="5"/>
      <c r="R36" s="123"/>
      <c r="S36" s="123"/>
      <c r="T36" s="123"/>
      <c r="U36" s="123"/>
      <c r="V36" s="123"/>
      <c r="W36" s="123"/>
      <c r="X36" s="123"/>
      <c r="Y36" s="123"/>
      <c r="Z36" s="123"/>
    </row>
    <row r="37" spans="1:26" ht="20.100000000000001" customHeight="1" x14ac:dyDescent="0.2">
      <c r="A37" s="277" t="s">
        <v>45</v>
      </c>
      <c r="B37" s="278"/>
      <c r="C37" s="279"/>
      <c r="D37" s="259">
        <v>75</v>
      </c>
      <c r="E37" s="259"/>
      <c r="F37" s="79">
        <f t="shared" ref="F37:L37" si="3">F33+F35</f>
        <v>0</v>
      </c>
      <c r="G37" s="79">
        <f t="shared" si="3"/>
        <v>0</v>
      </c>
      <c r="H37" s="79">
        <f t="shared" si="3"/>
        <v>0</v>
      </c>
      <c r="I37" s="79">
        <f t="shared" si="3"/>
        <v>0</v>
      </c>
      <c r="J37" s="79">
        <f t="shared" si="3"/>
        <v>0</v>
      </c>
      <c r="K37" s="79">
        <f t="shared" si="3"/>
        <v>0</v>
      </c>
      <c r="L37" s="79">
        <f t="shared" si="3"/>
        <v>0</v>
      </c>
      <c r="M37" s="97"/>
      <c r="N37" s="97"/>
      <c r="O37" s="97"/>
      <c r="P37" s="97"/>
      <c r="Q37" s="97"/>
      <c r="R37" s="155"/>
      <c r="S37" s="155"/>
      <c r="T37" s="155"/>
      <c r="U37" s="155"/>
      <c r="V37" s="155"/>
      <c r="W37" s="155"/>
      <c r="X37" s="155"/>
      <c r="Y37" s="155"/>
      <c r="Z37" s="155"/>
    </row>
    <row r="38" spans="1:26" ht="20.100000000000001" customHeight="1" x14ac:dyDescent="0.2">
      <c r="A38" s="7" t="s">
        <v>64</v>
      </c>
      <c r="B38" s="8"/>
      <c r="C38" s="9"/>
      <c r="D38" s="5">
        <v>3468</v>
      </c>
      <c r="E38" s="5"/>
      <c r="F38" s="5"/>
      <c r="G38" s="5"/>
      <c r="H38" s="5"/>
      <c r="I38" s="5"/>
      <c r="J38" s="57"/>
      <c r="K38" s="57"/>
      <c r="L38" s="5"/>
      <c r="M38" s="57"/>
      <c r="N38" s="5"/>
      <c r="O38" s="5"/>
      <c r="P38" s="5"/>
      <c r="Q38" s="5"/>
      <c r="R38" s="123"/>
      <c r="S38" s="123"/>
      <c r="T38" s="123"/>
      <c r="U38" s="123"/>
      <c r="V38" s="123"/>
      <c r="W38" s="123"/>
      <c r="X38" s="123"/>
      <c r="Y38" s="123"/>
      <c r="Z38" s="123"/>
    </row>
    <row r="39" spans="1:26" ht="20.100000000000001" customHeight="1" x14ac:dyDescent="0.2">
      <c r="A39" s="7" t="s">
        <v>47</v>
      </c>
      <c r="B39" s="8"/>
      <c r="C39" s="9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23"/>
      <c r="S39" s="123"/>
      <c r="T39" s="123"/>
      <c r="U39" s="123"/>
      <c r="V39" s="123"/>
      <c r="W39" s="123"/>
      <c r="X39" s="123"/>
      <c r="Y39" s="123"/>
      <c r="Z39" s="123"/>
    </row>
    <row r="40" spans="1:26" ht="20.100000000000001" customHeight="1" x14ac:dyDescent="0.2">
      <c r="A40" s="7" t="s">
        <v>117</v>
      </c>
      <c r="B40" s="8"/>
      <c r="C40" s="9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23"/>
      <c r="S40" s="123"/>
      <c r="T40" s="123"/>
      <c r="U40" s="123"/>
      <c r="V40" s="123"/>
      <c r="W40" s="123"/>
      <c r="X40" s="123"/>
      <c r="Y40" s="123"/>
      <c r="Z40" s="123"/>
    </row>
    <row r="41" spans="1:26" ht="20.100000000000001" customHeight="1" x14ac:dyDescent="0.2">
      <c r="A41" s="7" t="s">
        <v>50</v>
      </c>
      <c r="B41" s="8"/>
      <c r="C41" s="9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23"/>
      <c r="S41" s="123"/>
      <c r="T41" s="123"/>
      <c r="U41" s="123"/>
      <c r="V41" s="123"/>
      <c r="W41" s="123"/>
      <c r="X41" s="123"/>
      <c r="Y41" s="123"/>
      <c r="Z41" s="123"/>
    </row>
    <row r="42" spans="1:26" ht="20.100000000000001" customHeight="1" x14ac:dyDescent="0.2">
      <c r="A42" s="7" t="s">
        <v>51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23"/>
      <c r="S42" s="123"/>
      <c r="T42" s="123"/>
      <c r="U42" s="123"/>
      <c r="V42" s="123"/>
      <c r="W42" s="123"/>
      <c r="X42" s="123"/>
      <c r="Y42" s="123"/>
      <c r="Z42" s="123"/>
    </row>
    <row r="43" spans="1:26" ht="20.100000000000001" customHeight="1" x14ac:dyDescent="0.2">
      <c r="A43" s="7" t="s">
        <v>52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23"/>
      <c r="S43" s="123"/>
      <c r="T43" s="123"/>
      <c r="U43" s="123"/>
      <c r="V43" s="123"/>
      <c r="W43" s="123"/>
      <c r="X43" s="123"/>
      <c r="Y43" s="123"/>
      <c r="Z43" s="123"/>
    </row>
    <row r="44" spans="1:26" ht="20.100000000000001" customHeight="1" x14ac:dyDescent="0.2">
      <c r="A44" s="7" t="s">
        <v>53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23"/>
      <c r="S44" s="123"/>
      <c r="T44" s="123"/>
      <c r="U44" s="123"/>
      <c r="V44" s="123"/>
      <c r="W44" s="123"/>
      <c r="X44" s="123"/>
      <c r="Y44" s="123"/>
      <c r="Z44" s="123"/>
    </row>
    <row r="45" spans="1:26" ht="20.100000000000001" customHeight="1" x14ac:dyDescent="0.2">
      <c r="A45" s="7" t="s">
        <v>54</v>
      </c>
      <c r="B45" s="8"/>
      <c r="C45" s="9"/>
      <c r="D45" s="5"/>
      <c r="E45" s="5"/>
      <c r="F45" s="5"/>
      <c r="G45" s="5"/>
      <c r="H45" s="5"/>
      <c r="I45" s="6"/>
      <c r="J45" s="6"/>
      <c r="K45" s="5"/>
      <c r="L45" s="5"/>
      <c r="M45" s="5"/>
      <c r="N45" s="5"/>
      <c r="O45" s="5"/>
      <c r="P45" s="5"/>
      <c r="Q45" s="5"/>
      <c r="R45" s="123"/>
      <c r="S45" s="123"/>
      <c r="T45" s="123"/>
      <c r="U45" s="123"/>
      <c r="V45" s="123"/>
      <c r="W45" s="123"/>
      <c r="X45" s="123"/>
      <c r="Y45" s="123"/>
      <c r="Z45" s="123"/>
    </row>
    <row r="46" spans="1:26" ht="20.100000000000001" customHeight="1" x14ac:dyDescent="0.2">
      <c r="A46" s="277" t="s">
        <v>55</v>
      </c>
      <c r="B46" s="278"/>
      <c r="C46" s="279"/>
      <c r="D46" s="259">
        <v>34968</v>
      </c>
      <c r="E46" s="259"/>
      <c r="F46" s="259"/>
      <c r="G46" s="259"/>
      <c r="H46" s="259"/>
      <c r="I46" s="79">
        <f>I37+I28+I16</f>
        <v>0</v>
      </c>
      <c r="J46" s="79">
        <f>J37+J28+J16</f>
        <v>0</v>
      </c>
      <c r="K46" s="79">
        <f>K37+K28+K16</f>
        <v>0</v>
      </c>
      <c r="L46" s="79">
        <f>L37+L28+L16</f>
        <v>0</v>
      </c>
      <c r="M46" s="79">
        <f>M37+M28+M16</f>
        <v>0</v>
      </c>
      <c r="N46" s="259"/>
      <c r="O46" s="259"/>
      <c r="P46" s="259"/>
      <c r="Q46" s="259"/>
      <c r="R46" s="259"/>
      <c r="S46" s="259"/>
      <c r="T46" s="259"/>
      <c r="U46" s="259"/>
      <c r="V46" s="259"/>
      <c r="W46" s="259"/>
      <c r="X46" s="259"/>
      <c r="Y46" s="259"/>
      <c r="Z46" s="259"/>
    </row>
    <row r="47" spans="1:26" x14ac:dyDescent="0.2">
      <c r="F47" t="s">
        <v>32</v>
      </c>
      <c r="G47" t="s">
        <v>32</v>
      </c>
    </row>
  </sheetData>
  <mergeCells count="1">
    <mergeCell ref="A2:I2"/>
  </mergeCells>
  <printOptions horizontalCentered="1"/>
  <pageMargins left="0.19685039370078741" right="0.19685039370078741" top="0.39370078740157483" bottom="0.19685039370078741" header="0.51181102362204722" footer="0.51181102362204722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79"/>
  <sheetViews>
    <sheetView zoomScaleNormal="100" workbookViewId="0">
      <pane xSplit="1" topLeftCell="S1" activePane="topRight" state="frozen"/>
      <selection pane="topRight" activeCell="AC1" sqref="AC1:AC1048576"/>
    </sheetView>
  </sheetViews>
  <sheetFormatPr defaultColWidth="11.42578125" defaultRowHeight="12.75" x14ac:dyDescent="0.2"/>
  <cols>
    <col min="1" max="1" width="19.28515625" customWidth="1"/>
    <col min="2" max="5" width="11.42578125" hidden="1" customWidth="1"/>
    <col min="6" max="6" width="10.28515625" hidden="1" customWidth="1"/>
    <col min="7" max="13" width="11.42578125" hidden="1" customWidth="1"/>
    <col min="14" max="16" width="0" hidden="1" customWidth="1"/>
    <col min="17" max="17" width="11.42578125" style="146" customWidth="1"/>
    <col min="18" max="18" width="11.42578125" style="141" customWidth="1"/>
    <col min="19" max="19" width="11.42578125" style="146" customWidth="1"/>
    <col min="20" max="21" width="11.42578125" style="176" customWidth="1"/>
    <col min="22" max="22" width="8.140625" style="176" bestFit="1" customWidth="1"/>
    <col min="23" max="24" width="11.42578125" style="176" customWidth="1"/>
    <col min="25" max="25" width="11.42578125" style="146" customWidth="1"/>
    <col min="26" max="26" width="11.42578125" style="176" customWidth="1"/>
    <col min="27" max="27" width="11.42578125" style="146" customWidth="1"/>
    <col min="28" max="28" width="11.42578125" style="176" customWidth="1"/>
    <col min="29" max="29" width="19.42578125" customWidth="1"/>
  </cols>
  <sheetData>
    <row r="1" spans="1:32" ht="15.75" x14ac:dyDescent="0.25">
      <c r="A1" s="102" t="s">
        <v>118</v>
      </c>
      <c r="B1" s="44">
        <v>1997</v>
      </c>
      <c r="C1" s="44">
        <v>1998</v>
      </c>
      <c r="D1" s="44">
        <v>1999</v>
      </c>
      <c r="E1" s="44">
        <v>2000</v>
      </c>
      <c r="F1" s="44">
        <v>2001</v>
      </c>
      <c r="G1" s="44">
        <v>2002</v>
      </c>
      <c r="H1" s="109">
        <v>2003</v>
      </c>
      <c r="I1" s="109">
        <v>2004</v>
      </c>
      <c r="J1" s="109">
        <v>2005</v>
      </c>
      <c r="K1" s="110">
        <v>2006</v>
      </c>
      <c r="L1" s="109">
        <v>2007</v>
      </c>
      <c r="M1" s="111">
        <v>2008</v>
      </c>
      <c r="N1" s="109">
        <v>2009</v>
      </c>
      <c r="O1" s="109">
        <v>2010</v>
      </c>
      <c r="P1" s="111">
        <v>2011</v>
      </c>
      <c r="Q1" s="109">
        <v>2012</v>
      </c>
      <c r="R1" s="109">
        <v>2013</v>
      </c>
      <c r="S1" s="109">
        <v>2014</v>
      </c>
      <c r="T1" s="109">
        <v>2015</v>
      </c>
      <c r="U1" s="109">
        <v>2016</v>
      </c>
      <c r="V1" s="109">
        <v>2017</v>
      </c>
      <c r="W1" s="109">
        <v>2018</v>
      </c>
      <c r="X1" s="109">
        <v>2019</v>
      </c>
      <c r="Y1" s="109">
        <v>2020</v>
      </c>
      <c r="Z1" s="109">
        <v>2021</v>
      </c>
      <c r="AA1" s="109">
        <v>2022</v>
      </c>
      <c r="AB1" s="224" t="s">
        <v>119</v>
      </c>
      <c r="AC1" s="199" t="s">
        <v>120</v>
      </c>
    </row>
    <row r="2" spans="1:32" s="23" customFormat="1" x14ac:dyDescent="0.2">
      <c r="A2" s="25" t="s">
        <v>121</v>
      </c>
      <c r="B2" s="6">
        <v>4353</v>
      </c>
      <c r="C2" s="6">
        <v>4631</v>
      </c>
      <c r="D2" s="6">
        <v>4720</v>
      </c>
      <c r="E2" s="6">
        <v>4661</v>
      </c>
      <c r="F2" s="6">
        <v>4774</v>
      </c>
      <c r="G2" s="6">
        <v>4562</v>
      </c>
      <c r="H2" s="6">
        <f>Belgium!J12</f>
        <v>4430</v>
      </c>
      <c r="I2" s="6">
        <f>Belgium!K12</f>
        <v>5124</v>
      </c>
      <c r="J2" s="6">
        <f>Belgium!L12</f>
        <v>5218</v>
      </c>
      <c r="K2" s="66">
        <f>Belgium!M11</f>
        <v>5499</v>
      </c>
      <c r="L2" s="170">
        <f>Belgium!N12</f>
        <v>5548</v>
      </c>
      <c r="M2" s="171">
        <f>Belgium!O12</f>
        <v>5364</v>
      </c>
      <c r="N2" s="171">
        <f>Belgium!P12</f>
        <v>5327</v>
      </c>
      <c r="O2" s="172">
        <f>Belgium!Q12</f>
        <v>4473</v>
      </c>
      <c r="P2" s="171">
        <f>Belgium!R12</f>
        <v>4839</v>
      </c>
      <c r="Q2" s="156">
        <f>Belgium!S12</f>
        <v>4734</v>
      </c>
      <c r="R2" s="156">
        <f>Belgium!T12</f>
        <v>4193.7</v>
      </c>
      <c r="S2" s="156">
        <f>Belgium!U12</f>
        <v>4629</v>
      </c>
      <c r="T2" s="156">
        <f>Belgium!V12</f>
        <v>4772</v>
      </c>
      <c r="U2" s="156">
        <f>Belgium!W12</f>
        <v>4970</v>
      </c>
      <c r="V2" s="156">
        <f>Belgium!X12</f>
        <v>5151</v>
      </c>
      <c r="W2" s="156">
        <f>Belgium!Y12</f>
        <v>5150</v>
      </c>
      <c r="X2" s="156">
        <f>Belgium!Z12</f>
        <v>4956</v>
      </c>
      <c r="Y2" s="156">
        <f>Belgium!AA12</f>
        <v>4146</v>
      </c>
      <c r="Z2" s="156">
        <f>Belgium!AB12</f>
        <v>4118</v>
      </c>
      <c r="AA2" s="156">
        <f>Belgium!AC12</f>
        <v>3951</v>
      </c>
      <c r="AB2" s="225">
        <f>Belgium!AD12</f>
        <v>3766</v>
      </c>
      <c r="AC2" s="100">
        <f>Z2/Y2-1</f>
        <v>-6.7534973468402759E-3</v>
      </c>
    </row>
    <row r="3" spans="1:32" x14ac:dyDescent="0.2">
      <c r="A3" s="25" t="s">
        <v>122</v>
      </c>
      <c r="B3" s="6">
        <v>57002</v>
      </c>
      <c r="C3" s="6">
        <v>61614</v>
      </c>
      <c r="D3" s="6">
        <v>64895</v>
      </c>
      <c r="E3" s="6">
        <v>69853</v>
      </c>
      <c r="F3" s="6">
        <v>66128</v>
      </c>
      <c r="G3" s="6">
        <v>63044</v>
      </c>
      <c r="H3" s="6">
        <f>Germany!J14</f>
        <v>68854</v>
      </c>
      <c r="I3" s="119">
        <f>Germany!K14</f>
        <v>75339</v>
      </c>
      <c r="J3" s="6">
        <f>Germany!L14</f>
        <v>67147</v>
      </c>
      <c r="K3" s="120">
        <f>Germany!M14</f>
        <v>64418</v>
      </c>
      <c r="L3" s="156">
        <f>Germany!N14</f>
        <v>62010</v>
      </c>
      <c r="M3" s="156">
        <f>Germany!O14</f>
        <v>62305</v>
      </c>
      <c r="N3" s="156">
        <f>Germany!P14</f>
        <v>57349</v>
      </c>
      <c r="O3" s="157">
        <f>Germany!Q14</f>
        <v>53396</v>
      </c>
      <c r="P3" s="156">
        <f>Germany!R14</f>
        <v>57339</v>
      </c>
      <c r="Q3" s="156">
        <f>Germany!S14</f>
        <v>58468</v>
      </c>
      <c r="R3" s="156">
        <f>Germany!T14</f>
        <v>60534</v>
      </c>
      <c r="S3" s="156">
        <f>Germany!U14</f>
        <v>56640</v>
      </c>
      <c r="T3" s="156">
        <f>Germany!V14</f>
        <v>52128</v>
      </c>
      <c r="U3" s="156">
        <f>Germany!W14</f>
        <v>50423</v>
      </c>
      <c r="V3" s="156">
        <f>Germany!X14</f>
        <v>51587</v>
      </c>
      <c r="W3" s="156">
        <f>Germany!Y14</f>
        <v>51370</v>
      </c>
      <c r="X3" s="156">
        <f>Germany!Z14</f>
        <v>56819</v>
      </c>
      <c r="Y3" s="156">
        <f>Germany!AA14</f>
        <v>47758</v>
      </c>
      <c r="Z3" s="156">
        <f>Germany!AB14</f>
        <v>42383</v>
      </c>
      <c r="AA3" s="156">
        <f>Germany!AC14</f>
        <v>42829</v>
      </c>
      <c r="AB3" s="225">
        <f>Germany!AD14</f>
        <v>0</v>
      </c>
      <c r="AC3" s="100">
        <f t="shared" ref="AC3:AC9" si="0">Z3/Y3-1</f>
        <v>-0.11254658905314296</v>
      </c>
      <c r="AE3" t="s">
        <v>32</v>
      </c>
    </row>
    <row r="4" spans="1:32" x14ac:dyDescent="0.2">
      <c r="A4" s="25" t="s">
        <v>123</v>
      </c>
      <c r="B4" s="6">
        <v>33744</v>
      </c>
      <c r="C4" s="6">
        <v>35619</v>
      </c>
      <c r="D4" s="6">
        <v>32069</v>
      </c>
      <c r="E4" s="6">
        <v>30971</v>
      </c>
      <c r="F4" s="6">
        <v>29865</v>
      </c>
      <c r="G4" s="6">
        <v>24602</v>
      </c>
      <c r="H4" s="6">
        <f>Denmark!J13</f>
        <v>22804</v>
      </c>
      <c r="I4" s="6">
        <f>Denmark!K13</f>
        <v>24801</v>
      </c>
      <c r="J4" s="6">
        <f>Denmark!L13</f>
        <v>21621</v>
      </c>
      <c r="K4" s="25">
        <f>Denmark!M13</f>
        <v>22947</v>
      </c>
      <c r="L4" s="172">
        <f>Denmark!N13</f>
        <v>22454</v>
      </c>
      <c r="M4" s="172">
        <f>Denmark!O13</f>
        <v>23362</v>
      </c>
      <c r="N4" s="172">
        <f>Denmark!P13</f>
        <v>22993</v>
      </c>
      <c r="O4" s="172">
        <f>Denmark!Q13</f>
        <v>18481</v>
      </c>
      <c r="P4" s="171">
        <f>Denmark!R13</f>
        <v>20565</v>
      </c>
      <c r="Q4" s="156">
        <f>Denmark!S13</f>
        <v>18778</v>
      </c>
      <c r="R4" s="156">
        <f>Denmark!T13</f>
        <v>16164</v>
      </c>
      <c r="S4" s="156">
        <f>Denmark!U13</f>
        <v>20204.949999999997</v>
      </c>
      <c r="T4" s="156">
        <f>Denmark!V13</f>
        <v>19815</v>
      </c>
      <c r="U4" s="156">
        <f>Denmark!W13</f>
        <v>17545</v>
      </c>
      <c r="V4" s="156">
        <f>Denmark!X13</f>
        <v>17783</v>
      </c>
      <c r="W4" s="156">
        <f>Denmark!Y13</f>
        <v>13391</v>
      </c>
      <c r="X4" s="156">
        <f>Denmark!Z13</f>
        <v>18006</v>
      </c>
      <c r="Y4" s="156">
        <f>Denmark!AA13</f>
        <v>17836</v>
      </c>
      <c r="Z4" s="156">
        <f>Denmark!AB13</f>
        <v>16214</v>
      </c>
      <c r="AA4" s="156">
        <f>Denmark!AC13</f>
        <v>16379</v>
      </c>
      <c r="AB4" s="225">
        <f>Denmark!AD13</f>
        <v>0</v>
      </c>
      <c r="AC4" s="100">
        <f t="shared" si="0"/>
        <v>-9.0939672572325603E-2</v>
      </c>
    </row>
    <row r="5" spans="1:32" x14ac:dyDescent="0.2">
      <c r="A5" s="49" t="s">
        <v>7</v>
      </c>
      <c r="B5" s="52">
        <v>96870</v>
      </c>
      <c r="C5" s="52">
        <v>108024</v>
      </c>
      <c r="D5" s="52">
        <v>111215</v>
      </c>
      <c r="E5" s="52">
        <v>104544</v>
      </c>
      <c r="F5" s="52">
        <v>93637</v>
      </c>
      <c r="G5" s="52">
        <v>97518</v>
      </c>
      <c r="H5" s="52">
        <f>France!J14</f>
        <v>83348</v>
      </c>
      <c r="I5" s="52">
        <f>France!K14</f>
        <v>89922</v>
      </c>
      <c r="J5" s="52">
        <f>France!L14</f>
        <v>85334</v>
      </c>
      <c r="K5" s="67">
        <f>France!M14</f>
        <v>82224</v>
      </c>
      <c r="L5" s="173">
        <f>France!N14</f>
        <v>81473</v>
      </c>
      <c r="M5" s="173">
        <f>France!O14</f>
        <v>84553</v>
      </c>
      <c r="N5" s="173">
        <f>France!P14</f>
        <v>90547</v>
      </c>
      <c r="O5" s="174">
        <f>France!Q14</f>
        <v>87782</v>
      </c>
      <c r="P5" s="173">
        <f>France!R14</f>
        <v>81489</v>
      </c>
      <c r="Q5" s="175">
        <f>France!S14</f>
        <v>83113</v>
      </c>
      <c r="R5" s="175">
        <f>France!T14</f>
        <v>86459</v>
      </c>
      <c r="S5" s="175">
        <f>France!U14</f>
        <v>96310</v>
      </c>
      <c r="T5" s="175">
        <f>France!V14</f>
        <v>101660</v>
      </c>
      <c r="U5" s="175">
        <f>France!W14</f>
        <v>89845</v>
      </c>
      <c r="V5" s="175">
        <f>France!X14</f>
        <v>82292</v>
      </c>
      <c r="W5" s="175">
        <f>France!Y14</f>
        <v>77566</v>
      </c>
      <c r="X5" s="175">
        <f>France!Z14</f>
        <v>74352</v>
      </c>
      <c r="Y5" s="175">
        <f>France!AA14</f>
        <v>67501</v>
      </c>
      <c r="Z5" s="175">
        <f>France!AB14</f>
        <v>67797</v>
      </c>
      <c r="AA5" s="175">
        <f>France!AC14</f>
        <v>66727</v>
      </c>
      <c r="AB5" s="226">
        <f>France!AD14</f>
        <v>66446</v>
      </c>
      <c r="AC5" s="100">
        <f t="shared" si="0"/>
        <v>4.3851202204412409E-3</v>
      </c>
    </row>
    <row r="6" spans="1:32" x14ac:dyDescent="0.2">
      <c r="A6" s="7" t="s">
        <v>124</v>
      </c>
      <c r="B6" s="6">
        <v>28647</v>
      </c>
      <c r="C6" s="6">
        <v>28685</v>
      </c>
      <c r="D6" s="6">
        <v>25420</v>
      </c>
      <c r="E6" s="6">
        <v>23808</v>
      </c>
      <c r="F6" s="6">
        <v>24426</v>
      </c>
      <c r="G6" s="6">
        <v>26730.77</v>
      </c>
      <c r="H6" s="6">
        <f>Italy!J11</f>
        <v>24457.33</v>
      </c>
      <c r="I6" s="6">
        <f>Italy!K11</f>
        <v>22459</v>
      </c>
      <c r="J6" s="5">
        <f>Italy!L11</f>
        <v>24271</v>
      </c>
      <c r="K6" s="68">
        <f>Italy!M11</f>
        <v>26698.100000000002</v>
      </c>
      <c r="L6" s="171">
        <f>Italy!N11</f>
        <v>24376.799999999999</v>
      </c>
      <c r="M6" s="171">
        <f>Italy!O11</f>
        <v>30504</v>
      </c>
      <c r="N6" s="171">
        <f>Italy!P11</f>
        <v>27691.87</v>
      </c>
      <c r="O6" s="172">
        <f>Italy!Q11</f>
        <v>21981</v>
      </c>
      <c r="P6" s="171">
        <f>Italy!R11</f>
        <v>20888</v>
      </c>
      <c r="Q6" s="156">
        <f>Italy!S11</f>
        <v>25707</v>
      </c>
      <c r="R6" s="156">
        <f>Italy!T11</f>
        <v>27859</v>
      </c>
      <c r="S6" s="156">
        <f>Italy!U11</f>
        <v>27407</v>
      </c>
      <c r="T6" s="156">
        <f>Italy!V11</f>
        <v>24290</v>
      </c>
      <c r="U6" s="156">
        <f>Italy!W11</f>
        <v>23374</v>
      </c>
      <c r="V6" s="156">
        <f>Italy!X11</f>
        <v>20942</v>
      </c>
      <c r="W6" s="156">
        <f>Italy!Y11</f>
        <v>21868</v>
      </c>
      <c r="X6" s="156">
        <f>Italy!Z11</f>
        <v>24831</v>
      </c>
      <c r="Y6" s="156">
        <f>Italy!AA11</f>
        <v>23842.95</v>
      </c>
      <c r="Z6" s="156">
        <f>Italy!AB11</f>
        <v>24219.33</v>
      </c>
      <c r="AA6" s="156">
        <f>Italy!AC11</f>
        <v>22809.09</v>
      </c>
      <c r="AB6" s="225">
        <f>Italy!AD11</f>
        <v>0</v>
      </c>
      <c r="AC6" s="100">
        <f t="shared" si="0"/>
        <v>1.578579831774185E-2</v>
      </c>
    </row>
    <row r="7" spans="1:32" x14ac:dyDescent="0.2">
      <c r="A7" s="7" t="s">
        <v>125</v>
      </c>
      <c r="B7" s="6">
        <v>12688</v>
      </c>
      <c r="C7" s="6">
        <v>14577</v>
      </c>
      <c r="D7" s="6">
        <v>14184</v>
      </c>
      <c r="E7" s="6">
        <v>18031</v>
      </c>
      <c r="F7" s="6">
        <v>16711</v>
      </c>
      <c r="G7" s="6">
        <f>15497+47+38.9+527.7</f>
        <v>16110.6</v>
      </c>
      <c r="H7" s="6">
        <f>Sweden!J13</f>
        <v>16739.5</v>
      </c>
      <c r="I7" s="6">
        <f>Sweden!K13</f>
        <v>15973</v>
      </c>
      <c r="J7" s="6">
        <f>Sweden!L13</f>
        <v>16033</v>
      </c>
      <c r="K7" s="7">
        <f>Sweden!M13</f>
        <v>14234</v>
      </c>
      <c r="L7" s="171">
        <f>Sweden!N13</f>
        <v>12615</v>
      </c>
      <c r="M7" s="171">
        <f>Sweden!O13</f>
        <v>12026</v>
      </c>
      <c r="N7" s="171">
        <f>Sweden!P13</f>
        <v>12630</v>
      </c>
      <c r="O7" s="172">
        <f>Sweden!Q13</f>
        <v>10827</v>
      </c>
      <c r="P7" s="171">
        <f>Sweden!R13</f>
        <v>12701</v>
      </c>
      <c r="Q7" s="156">
        <f>Sweden!S13</f>
        <v>12775</v>
      </c>
      <c r="R7" s="156">
        <f>Sweden!T13</f>
        <v>10759</v>
      </c>
      <c r="S7" s="156">
        <f>Sweden!U13</f>
        <v>15056</v>
      </c>
      <c r="T7" s="156">
        <f>Sweden!V13</f>
        <v>13707</v>
      </c>
      <c r="U7" s="156">
        <f>Sweden!W13</f>
        <v>14106</v>
      </c>
      <c r="V7" s="156">
        <f>Sweden!X13</f>
        <v>12883.4</v>
      </c>
      <c r="W7" s="156">
        <f>Sweden!Y13</f>
        <v>12003</v>
      </c>
      <c r="X7" s="156">
        <f>Sweden!Z13</f>
        <v>14216</v>
      </c>
      <c r="Y7" s="156">
        <f>Sweden!AA13</f>
        <v>14278</v>
      </c>
      <c r="Z7" s="156">
        <f>Sweden!AB13</f>
        <v>13801</v>
      </c>
      <c r="AA7" s="156">
        <f>Sweden!AC13</f>
        <v>13430</v>
      </c>
      <c r="AB7" s="225">
        <f>Sweden!AD13</f>
        <v>0</v>
      </c>
      <c r="AC7" s="100">
        <f t="shared" si="0"/>
        <v>-3.3408040341784573E-2</v>
      </c>
      <c r="AE7" s="146" t="s">
        <v>32</v>
      </c>
    </row>
    <row r="8" spans="1:32" x14ac:dyDescent="0.2">
      <c r="A8" s="7" t="s">
        <v>126</v>
      </c>
      <c r="B8" s="6">
        <v>56424</v>
      </c>
      <c r="C8" s="6">
        <v>59577</v>
      </c>
      <c r="D8" s="6">
        <v>56852</v>
      </c>
      <c r="E8" s="6">
        <v>57698</v>
      </c>
      <c r="F8" s="6">
        <v>39044</v>
      </c>
      <c r="G8" s="6">
        <v>43901</v>
      </c>
      <c r="H8" s="6">
        <f>UK!J13</f>
        <v>36441</v>
      </c>
      <c r="I8" s="6">
        <f>UK!K13</f>
        <v>39608</v>
      </c>
      <c r="J8" s="63">
        <f>UK!L13</f>
        <v>40211.564705882352</v>
      </c>
      <c r="K8" s="25">
        <f>UK!M13</f>
        <v>35364.9</v>
      </c>
      <c r="L8" s="171">
        <f>UK!N13</f>
        <v>30729.1</v>
      </c>
      <c r="M8" s="171">
        <f>UK!O13</f>
        <v>38795</v>
      </c>
      <c r="N8" s="171">
        <f>UK!P13</f>
        <v>34887</v>
      </c>
      <c r="O8" s="171">
        <f>UK!Q13</f>
        <v>35172</v>
      </c>
      <c r="P8" s="171">
        <f>UK!R13</f>
        <v>34159</v>
      </c>
      <c r="Q8" s="156">
        <f>UK!S13</f>
        <v>35332</v>
      </c>
      <c r="R8" s="156">
        <f>UK!T13</f>
        <v>34052</v>
      </c>
      <c r="S8" s="156">
        <f>UK!U13</f>
        <v>41985</v>
      </c>
      <c r="T8" s="156">
        <f>UK!V13</f>
        <v>36531.11</v>
      </c>
      <c r="U8" s="156">
        <f>UK!W13</f>
        <v>33270</v>
      </c>
      <c r="V8" s="156">
        <f>UK!X13</f>
        <v>32753.649999999998</v>
      </c>
      <c r="W8" s="156">
        <f>UK!Y13</f>
        <v>34251.630000000041</v>
      </c>
      <c r="X8" s="156">
        <f>UK!Z13</f>
        <v>33574</v>
      </c>
      <c r="Y8" s="156">
        <f>UK!AA13</f>
        <v>27701</v>
      </c>
      <c r="Z8" s="156">
        <f>UK!AB13</f>
        <v>34782.590000000011</v>
      </c>
      <c r="AA8" s="156">
        <f>UK!AC13</f>
        <v>34080.749999999985</v>
      </c>
      <c r="AB8" s="225">
        <f>UK!AD13</f>
        <v>28214.55</v>
      </c>
      <c r="AC8" s="100">
        <f t="shared" si="0"/>
        <v>0.25564383957257908</v>
      </c>
    </row>
    <row r="9" spans="1:32" x14ac:dyDescent="0.2">
      <c r="A9" s="7" t="s">
        <v>127</v>
      </c>
      <c r="B9" s="6">
        <v>282</v>
      </c>
      <c r="C9" s="6">
        <v>443</v>
      </c>
      <c r="D9" s="6">
        <v>267</v>
      </c>
      <c r="E9" s="6">
        <v>743</v>
      </c>
      <c r="F9" s="6">
        <v>330</v>
      </c>
      <c r="G9" s="6">
        <v>319</v>
      </c>
      <c r="H9" s="6">
        <v>500</v>
      </c>
      <c r="I9" s="6">
        <v>783</v>
      </c>
      <c r="J9" s="5">
        <v>500</v>
      </c>
      <c r="K9" s="7"/>
      <c r="L9" s="171"/>
      <c r="M9" s="171">
        <f>Finland!O13</f>
        <v>370</v>
      </c>
      <c r="N9" s="171">
        <f>Finland!P13</f>
        <v>195</v>
      </c>
      <c r="O9" s="172">
        <f>Finland!Q13</f>
        <v>340</v>
      </c>
      <c r="P9" s="171">
        <f>Finland!R13</f>
        <v>684</v>
      </c>
      <c r="Q9" s="156">
        <f>Finland!S13</f>
        <v>500</v>
      </c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225"/>
      <c r="AC9" s="100" t="e">
        <f t="shared" si="0"/>
        <v>#DIV/0!</v>
      </c>
      <c r="AF9" t="s">
        <v>32</v>
      </c>
    </row>
    <row r="10" spans="1:32" x14ac:dyDescent="0.2">
      <c r="B10" s="23"/>
      <c r="C10" s="23"/>
      <c r="D10" s="23"/>
      <c r="E10" s="23"/>
      <c r="F10" s="23"/>
      <c r="G10" s="23"/>
      <c r="H10" s="23"/>
      <c r="I10" s="23"/>
      <c r="L10" s="166"/>
      <c r="M10" s="166"/>
      <c r="N10" s="166"/>
      <c r="O10" s="166"/>
      <c r="P10" s="166"/>
      <c r="Q10" s="183"/>
      <c r="R10" s="183"/>
      <c r="S10" s="183"/>
      <c r="T10" s="184"/>
      <c r="U10" s="184"/>
      <c r="V10" s="184"/>
      <c r="W10" s="184"/>
      <c r="X10" s="184"/>
      <c r="Y10" s="183"/>
      <c r="Z10" s="183"/>
      <c r="AA10" s="183"/>
      <c r="AB10" s="184"/>
      <c r="AC10" s="184"/>
    </row>
    <row r="11" spans="1:32" x14ac:dyDescent="0.2">
      <c r="Z11" s="146"/>
      <c r="AC11" s="176"/>
    </row>
    <row r="12" spans="1:32" ht="15.75" x14ac:dyDescent="0.25">
      <c r="A12" s="102" t="s">
        <v>128</v>
      </c>
      <c r="B12" s="44">
        <v>1997</v>
      </c>
      <c r="C12" s="44">
        <v>1998</v>
      </c>
      <c r="D12" s="44">
        <v>1999</v>
      </c>
      <c r="E12" s="44">
        <v>2000</v>
      </c>
      <c r="F12" s="44">
        <v>2001</v>
      </c>
      <c r="G12" s="44">
        <v>2002</v>
      </c>
      <c r="H12" s="109">
        <v>2003</v>
      </c>
      <c r="I12" s="109">
        <v>2004</v>
      </c>
      <c r="J12" s="109">
        <v>2005</v>
      </c>
      <c r="K12" s="110">
        <v>2006</v>
      </c>
      <c r="L12" s="109">
        <v>2007</v>
      </c>
      <c r="M12" s="111">
        <v>2008</v>
      </c>
      <c r="N12" s="109">
        <v>2009</v>
      </c>
      <c r="O12" s="109">
        <v>2010</v>
      </c>
      <c r="P12" s="111">
        <v>2011</v>
      </c>
      <c r="Q12" s="109">
        <v>2012</v>
      </c>
      <c r="R12" s="109">
        <v>2013</v>
      </c>
      <c r="S12" s="109">
        <v>2014</v>
      </c>
      <c r="T12" s="109">
        <v>2015</v>
      </c>
      <c r="U12" s="109">
        <v>2016</v>
      </c>
      <c r="V12" s="109">
        <v>2017</v>
      </c>
      <c r="W12" s="109">
        <v>2018</v>
      </c>
      <c r="X12" s="109">
        <v>2019</v>
      </c>
      <c r="Y12" s="109">
        <v>2020</v>
      </c>
      <c r="Z12" s="109">
        <v>2021</v>
      </c>
      <c r="AA12" s="109">
        <v>2022</v>
      </c>
      <c r="AB12" s="224" t="s">
        <v>119</v>
      </c>
      <c r="AC12" s="199" t="s">
        <v>120</v>
      </c>
      <c r="AD12" s="146" t="s">
        <v>32</v>
      </c>
    </row>
    <row r="13" spans="1:32" s="47" customFormat="1" x14ac:dyDescent="0.2">
      <c r="A13" s="49" t="s">
        <v>7</v>
      </c>
      <c r="B13" s="52">
        <v>10323</v>
      </c>
      <c r="C13" s="52">
        <v>12495</v>
      </c>
      <c r="D13" s="52">
        <v>15458</v>
      </c>
      <c r="E13" s="52">
        <v>18106</v>
      </c>
      <c r="F13" s="52">
        <v>15618</v>
      </c>
      <c r="G13" s="52">
        <v>16408</v>
      </c>
      <c r="H13" s="52">
        <f>France!J12</f>
        <v>16014</v>
      </c>
      <c r="I13" s="52">
        <f>France!K12</f>
        <v>18353</v>
      </c>
      <c r="J13" s="52">
        <f>France!L12</f>
        <v>16742</v>
      </c>
      <c r="K13" s="67">
        <f>France!M12</f>
        <v>16926</v>
      </c>
      <c r="L13" s="52">
        <f>France!N12</f>
        <v>16487</v>
      </c>
      <c r="M13" s="52">
        <f>France!O12</f>
        <v>16940</v>
      </c>
      <c r="N13" s="52">
        <f>France!P12</f>
        <v>15763</v>
      </c>
      <c r="O13" s="67">
        <f>France!Q12</f>
        <v>16617</v>
      </c>
      <c r="P13" s="52">
        <f>France!R12</f>
        <v>13998</v>
      </c>
      <c r="Q13" s="121">
        <f>France!S12</f>
        <v>14050</v>
      </c>
      <c r="R13" s="121">
        <f>France!T12</f>
        <v>13586</v>
      </c>
      <c r="S13" s="121">
        <f>France!U12</f>
        <v>12623</v>
      </c>
      <c r="T13" s="121">
        <f>France!V12</f>
        <v>12609</v>
      </c>
      <c r="U13" s="121">
        <f>France!W12</f>
        <v>13155</v>
      </c>
      <c r="V13" s="121">
        <f>France!X12</f>
        <v>13410</v>
      </c>
      <c r="W13" s="121">
        <f>France!Y12</f>
        <v>10525</v>
      </c>
      <c r="X13" s="121">
        <f>France!Z12</f>
        <v>8244</v>
      </c>
      <c r="Y13" s="121">
        <f>France!AA12</f>
        <v>6556</v>
      </c>
      <c r="Z13" s="121">
        <f>France!AB12</f>
        <v>7712</v>
      </c>
      <c r="AA13" s="121">
        <f>France!AC12</f>
        <v>7893</v>
      </c>
      <c r="AB13" s="227">
        <f>France!AD12</f>
        <v>7382</v>
      </c>
      <c r="AC13" s="100">
        <f>Z13/Y13-1</f>
        <v>0.1763270286760219</v>
      </c>
    </row>
    <row r="14" spans="1:32" x14ac:dyDescent="0.2">
      <c r="A14" s="7" t="s">
        <v>124</v>
      </c>
      <c r="B14" s="6">
        <v>133990</v>
      </c>
      <c r="C14" s="6">
        <v>136244</v>
      </c>
      <c r="D14" s="6">
        <v>131467</v>
      </c>
      <c r="E14" s="6">
        <v>138790</v>
      </c>
      <c r="F14" s="6">
        <v>139387</v>
      </c>
      <c r="G14" s="6">
        <v>157600.62</v>
      </c>
      <c r="H14" s="6">
        <f>Italy!J10</f>
        <v>165164.96</v>
      </c>
      <c r="I14" s="6">
        <f>Italy!K10</f>
        <v>171487</v>
      </c>
      <c r="J14" s="5">
        <f>Italy!L10</f>
        <v>91822</v>
      </c>
      <c r="K14" s="68">
        <f>Italy!M10</f>
        <v>101004.20000000001</v>
      </c>
      <c r="L14" s="6">
        <f>Italy!N10</f>
        <v>95884.4</v>
      </c>
      <c r="M14" s="6">
        <f>Italy!O10</f>
        <v>124448</v>
      </c>
      <c r="N14" s="6">
        <f>Italy!P10</f>
        <v>91811.66</v>
      </c>
      <c r="O14" s="25">
        <f>Italy!Q10</f>
        <v>82323</v>
      </c>
      <c r="P14" s="6">
        <f>Italy!R10</f>
        <v>49599</v>
      </c>
      <c r="Q14" s="119">
        <f>Italy!S10</f>
        <v>73672</v>
      </c>
      <c r="R14" s="119">
        <f>Italy!T10</f>
        <v>72958</v>
      </c>
      <c r="S14" s="119">
        <f>Italy!U10</f>
        <v>67907</v>
      </c>
      <c r="T14" s="119">
        <f>Italy!V10</f>
        <v>70948</v>
      </c>
      <c r="U14" s="119">
        <f>Italy!W10</f>
        <v>83785</v>
      </c>
      <c r="V14" s="119">
        <f>Italy!X10</f>
        <v>64105</v>
      </c>
      <c r="W14" s="119">
        <f>Italy!Y10</f>
        <v>58955</v>
      </c>
      <c r="X14" s="119">
        <f>Italy!Z10</f>
        <v>52538</v>
      </c>
      <c r="Y14" s="119">
        <f>Italy!AA10</f>
        <v>56031.07</v>
      </c>
      <c r="Z14" s="119">
        <f>Italy!AB10</f>
        <v>62136.15</v>
      </c>
      <c r="AA14" s="119">
        <f>Italy!AC10</f>
        <v>67083.990000000005</v>
      </c>
      <c r="AB14" s="228">
        <f>Italy!AD10</f>
        <v>0</v>
      </c>
      <c r="AC14" s="100">
        <f t="shared" ref="AC14:AC15" si="1">Z14/Y14-1</f>
        <v>0.10895883301889464</v>
      </c>
    </row>
    <row r="15" spans="1:32" x14ac:dyDescent="0.2">
      <c r="A15" s="7" t="s">
        <v>126</v>
      </c>
      <c r="B15" s="6">
        <v>0</v>
      </c>
      <c r="C15" s="6">
        <v>80</v>
      </c>
      <c r="D15" s="6">
        <v>386</v>
      </c>
      <c r="E15" s="6">
        <v>344</v>
      </c>
      <c r="F15" s="6">
        <v>396</v>
      </c>
      <c r="G15" s="6">
        <v>248</v>
      </c>
      <c r="H15" s="6">
        <f>UK!J11</f>
        <v>258.3</v>
      </c>
      <c r="I15" s="6">
        <f>UK!K11</f>
        <v>157.69999999999999</v>
      </c>
      <c r="J15" s="63">
        <f>UK!L11</f>
        <v>200.4</v>
      </c>
      <c r="K15" s="7">
        <f>UK!M11</f>
        <v>145</v>
      </c>
      <c r="L15" s="6">
        <f>UK!N11</f>
        <v>59</v>
      </c>
      <c r="M15" s="6">
        <v>0</v>
      </c>
      <c r="N15" s="6">
        <v>0</v>
      </c>
      <c r="O15" s="25">
        <v>0</v>
      </c>
      <c r="P15" s="6">
        <f>UK!R11</f>
        <v>0</v>
      </c>
      <c r="Q15" s="119">
        <f>UK!S11</f>
        <v>0</v>
      </c>
      <c r="R15" s="119">
        <f>UK!T11</f>
        <v>0</v>
      </c>
      <c r="S15" s="119">
        <f>UK!U11</f>
        <v>0</v>
      </c>
      <c r="T15" s="119">
        <f>UK!V11</f>
        <v>0</v>
      </c>
      <c r="U15" s="119">
        <f>UK!W11</f>
        <v>0</v>
      </c>
      <c r="V15" s="119">
        <f>UK!X11</f>
        <v>0</v>
      </c>
      <c r="W15" s="119">
        <f>UK!Y11</f>
        <v>0</v>
      </c>
      <c r="X15" s="119">
        <f>UK!Z11</f>
        <v>0</v>
      </c>
      <c r="Y15" s="119">
        <f>UK!AA11</f>
        <v>0</v>
      </c>
      <c r="Z15" s="119">
        <f>UK!AB11</f>
        <v>0</v>
      </c>
      <c r="AA15" s="119">
        <f>UK!AC11</f>
        <v>0</v>
      </c>
      <c r="AB15" s="228">
        <f>UK!AD11</f>
        <v>0</v>
      </c>
      <c r="AC15" s="100" t="e">
        <f t="shared" si="1"/>
        <v>#DIV/0!</v>
      </c>
    </row>
    <row r="16" spans="1:32" x14ac:dyDescent="0.2">
      <c r="Z16" s="146"/>
      <c r="AC16" s="176"/>
    </row>
    <row r="17" spans="1:29" x14ac:dyDescent="0.2">
      <c r="Z17" s="146"/>
      <c r="AC17" s="176"/>
    </row>
    <row r="18" spans="1:29" ht="15.75" x14ac:dyDescent="0.25">
      <c r="A18" s="102" t="s">
        <v>129</v>
      </c>
      <c r="B18" s="44">
        <v>1997</v>
      </c>
      <c r="C18" s="44">
        <v>1998</v>
      </c>
      <c r="D18" s="44">
        <v>1999</v>
      </c>
      <c r="E18" s="44">
        <v>2000</v>
      </c>
      <c r="F18" s="44">
        <v>2001</v>
      </c>
      <c r="G18" s="44">
        <v>2002</v>
      </c>
      <c r="H18" s="109">
        <v>2003</v>
      </c>
      <c r="I18" s="109">
        <v>2004</v>
      </c>
      <c r="J18" s="109">
        <v>2005</v>
      </c>
      <c r="K18" s="110">
        <v>2006</v>
      </c>
      <c r="L18" s="109">
        <v>2007</v>
      </c>
      <c r="M18" s="111">
        <v>2008</v>
      </c>
      <c r="N18" s="109">
        <v>2009</v>
      </c>
      <c r="O18" s="109">
        <v>2010</v>
      </c>
      <c r="P18" s="111">
        <v>2011</v>
      </c>
      <c r="Q18" s="109">
        <v>2012</v>
      </c>
      <c r="R18" s="109">
        <v>2013</v>
      </c>
      <c r="S18" s="109">
        <v>2014</v>
      </c>
      <c r="T18" s="109">
        <v>2015</v>
      </c>
      <c r="U18" s="109">
        <v>2016</v>
      </c>
      <c r="V18" s="109">
        <v>2017</v>
      </c>
      <c r="W18" s="109">
        <v>2018</v>
      </c>
      <c r="X18" s="109">
        <v>2019</v>
      </c>
      <c r="Y18" s="109">
        <v>2020</v>
      </c>
      <c r="Z18" s="109">
        <v>2021</v>
      </c>
      <c r="AA18" s="109">
        <v>2022</v>
      </c>
      <c r="AB18" s="224" t="s">
        <v>119</v>
      </c>
      <c r="AC18" s="199" t="s">
        <v>120</v>
      </c>
    </row>
    <row r="19" spans="1:29" x14ac:dyDescent="0.2">
      <c r="A19" s="25" t="s">
        <v>121</v>
      </c>
      <c r="B19" s="6">
        <v>1089</v>
      </c>
      <c r="C19" s="6">
        <v>1228</v>
      </c>
      <c r="D19" s="6">
        <v>1189</v>
      </c>
      <c r="E19" s="6">
        <v>1256</v>
      </c>
      <c r="F19" s="6">
        <v>919</v>
      </c>
      <c r="G19" s="6">
        <v>878</v>
      </c>
      <c r="H19" s="6">
        <f>Belgium!J7</f>
        <v>838</v>
      </c>
      <c r="I19" s="6">
        <f>Belgium!K7</f>
        <v>989</v>
      </c>
      <c r="J19" s="6">
        <f>Belgium!L7</f>
        <v>1270</v>
      </c>
      <c r="K19" s="6">
        <f>Belgium!M7</f>
        <v>1277</v>
      </c>
      <c r="L19" s="6">
        <f>Belgium!N7</f>
        <v>1427</v>
      </c>
      <c r="M19" s="6">
        <f>Belgium!O7</f>
        <v>1632.1200000000001</v>
      </c>
      <c r="N19" s="6">
        <f>Belgium!P7</f>
        <v>1315.3</v>
      </c>
      <c r="O19" s="25">
        <f>Belgium!Q7</f>
        <v>2012</v>
      </c>
      <c r="P19" s="6">
        <f>Belgium!R7</f>
        <v>1930</v>
      </c>
      <c r="Q19" s="119">
        <f>Belgium!S6</f>
        <v>0</v>
      </c>
      <c r="R19" s="119">
        <f>Belgium!T6+Belgium!T5</f>
        <v>1143.51</v>
      </c>
      <c r="S19" s="119">
        <f>Belgium!U6+Belgium!U5</f>
        <v>1206</v>
      </c>
      <c r="T19" s="119">
        <f>Belgium!V5+Belgium!V6</f>
        <v>1231</v>
      </c>
      <c r="U19" s="119">
        <f>Belgium!W5+Belgium!W6</f>
        <v>1275</v>
      </c>
      <c r="V19" s="119">
        <f>Belgium!X5+Belgium!X6</f>
        <v>1434</v>
      </c>
      <c r="W19" s="119">
        <f>Belgium!Y5+Belgium!Y6</f>
        <v>1220</v>
      </c>
      <c r="X19" s="119">
        <f>Belgium!Z5+Belgium!Z6</f>
        <v>1214</v>
      </c>
      <c r="Y19" s="119">
        <f>Belgium!AA5+Belgium!AA6</f>
        <v>1198</v>
      </c>
      <c r="Z19" s="119">
        <f>Belgium!AB5+Belgium!AB6</f>
        <v>1179</v>
      </c>
      <c r="AA19" s="119">
        <f>Belgium!AC5+Belgium!AC6</f>
        <v>1073</v>
      </c>
      <c r="AB19" s="228">
        <f>Belgium!AD5+Belgium!AD6</f>
        <v>965</v>
      </c>
      <c r="AC19" s="100">
        <f>Z19/Y19-1</f>
        <v>-1.5859766277128595E-2</v>
      </c>
    </row>
    <row r="20" spans="1:29" x14ac:dyDescent="0.2">
      <c r="A20" s="25" t="s">
        <v>122</v>
      </c>
      <c r="B20" s="6">
        <v>36733</v>
      </c>
      <c r="C20" s="6">
        <v>36964</v>
      </c>
      <c r="D20" s="6">
        <v>35592</v>
      </c>
      <c r="E20" s="6">
        <v>34383</v>
      </c>
      <c r="F20" s="6">
        <v>32995</v>
      </c>
      <c r="G20" s="6">
        <v>30238</v>
      </c>
      <c r="H20" s="6">
        <f>Germany!J7</f>
        <v>30210</v>
      </c>
      <c r="I20" s="58">
        <f>Germany!K7</f>
        <v>34218</v>
      </c>
      <c r="J20" s="6">
        <f>Germany!L7</f>
        <v>29714</v>
      </c>
      <c r="K20" s="120">
        <f>Germany!M7</f>
        <v>29142</v>
      </c>
      <c r="L20" s="119">
        <f>Germany!N7</f>
        <v>28540</v>
      </c>
      <c r="M20" s="119">
        <f>Germany!O7</f>
        <v>30048</v>
      </c>
      <c r="N20" s="119">
        <f>Germany!P7</f>
        <v>28167</v>
      </c>
      <c r="O20" s="120">
        <f>Germany!Q7</f>
        <v>23813</v>
      </c>
      <c r="P20" s="119">
        <f>Germany!R7</f>
        <v>22686</v>
      </c>
      <c r="Q20" s="119">
        <f>Germany!S7</f>
        <v>24524</v>
      </c>
      <c r="R20" s="119">
        <f>Germany!T7</f>
        <v>29031</v>
      </c>
      <c r="S20" s="119">
        <f>Germany!U7</f>
        <v>26009</v>
      </c>
      <c r="T20" s="119">
        <f>Germany!V7</f>
        <v>24606</v>
      </c>
      <c r="U20" s="119">
        <f>Germany!W7</f>
        <v>18762</v>
      </c>
      <c r="V20" s="119">
        <f>Germany!X7</f>
        <v>20941</v>
      </c>
      <c r="W20" s="119">
        <f>Germany!Y7</f>
        <v>21278</v>
      </c>
      <c r="X20" s="119">
        <f>Germany!Z7</f>
        <v>24898</v>
      </c>
      <c r="Y20" s="119">
        <f>Germany!AA7</f>
        <v>25584</v>
      </c>
      <c r="Z20" s="119">
        <f>Germany!AB7</f>
        <v>24391</v>
      </c>
      <c r="AA20" s="119">
        <f>Germany!AC7</f>
        <v>22842</v>
      </c>
      <c r="AB20" s="228">
        <f>Germany!AD7</f>
        <v>0</v>
      </c>
      <c r="AC20" s="100">
        <f t="shared" ref="AC20:AC24" si="2">Z20/Y20-1</f>
        <v>-4.6630706691682344E-2</v>
      </c>
    </row>
    <row r="21" spans="1:29" x14ac:dyDescent="0.2">
      <c r="A21" s="25" t="s">
        <v>123</v>
      </c>
      <c r="B21" s="6">
        <v>7842</v>
      </c>
      <c r="C21" s="6">
        <v>8036</v>
      </c>
      <c r="D21" s="6">
        <v>7601</v>
      </c>
      <c r="E21" s="6">
        <v>6734</v>
      </c>
      <c r="F21" s="6">
        <v>6182</v>
      </c>
      <c r="G21" s="6">
        <v>5426</v>
      </c>
      <c r="H21" s="6">
        <f>Denmark!J7</f>
        <v>5757</v>
      </c>
      <c r="I21" s="6">
        <f>Denmark!K7</f>
        <v>5159</v>
      </c>
      <c r="J21" s="6">
        <f>Denmark!L7</f>
        <v>5380</v>
      </c>
      <c r="K21" s="25">
        <f>Denmark!M7</f>
        <v>6465</v>
      </c>
      <c r="L21" s="25">
        <f>Denmark!N7</f>
        <v>6330</v>
      </c>
      <c r="M21" s="25">
        <f>Denmark!O7</f>
        <v>6734</v>
      </c>
      <c r="N21" s="25">
        <f>Denmark!P7</f>
        <v>6531</v>
      </c>
      <c r="O21" s="25">
        <f>Denmark!Q7</f>
        <v>4867</v>
      </c>
      <c r="P21" s="6">
        <f>Denmark!R7</f>
        <v>5387</v>
      </c>
      <c r="Q21" s="119">
        <f>Denmark!S7</f>
        <v>4704</v>
      </c>
      <c r="R21" s="119">
        <f>Denmark!T7</f>
        <v>3717</v>
      </c>
      <c r="S21" s="119">
        <f>Denmark!U7</f>
        <v>4654.1900000000005</v>
      </c>
      <c r="T21" s="119">
        <f>Denmark!V7</f>
        <v>8027</v>
      </c>
      <c r="U21" s="119">
        <f>Denmark!W7</f>
        <v>3531</v>
      </c>
      <c r="V21" s="119">
        <f>Denmark!X7</f>
        <v>4361</v>
      </c>
      <c r="W21" s="119">
        <f>Denmark!Y7</f>
        <v>3860</v>
      </c>
      <c r="X21" s="119">
        <f>Denmark!Z7</f>
        <v>3975</v>
      </c>
      <c r="Y21" s="119">
        <f>Denmark!AA7</f>
        <v>3050</v>
      </c>
      <c r="Z21" s="119">
        <f>Denmark!AB7</f>
        <v>2689</v>
      </c>
      <c r="AA21" s="119">
        <f>Denmark!AC7</f>
        <v>2154</v>
      </c>
      <c r="AB21" s="228">
        <f>Denmark!AD7</f>
        <v>0</v>
      </c>
      <c r="AC21" s="100">
        <f t="shared" si="2"/>
        <v>-0.11836065573770493</v>
      </c>
    </row>
    <row r="22" spans="1:29" x14ac:dyDescent="0.2">
      <c r="A22" s="49" t="s">
        <v>7</v>
      </c>
      <c r="B22" s="52">
        <v>31883</v>
      </c>
      <c r="C22" s="52">
        <v>32471</v>
      </c>
      <c r="D22" s="52">
        <v>25226</v>
      </c>
      <c r="E22" s="52">
        <v>23445</v>
      </c>
      <c r="F22" s="52">
        <v>23142</v>
      </c>
      <c r="G22" s="52">
        <v>24430</v>
      </c>
      <c r="H22" s="52">
        <v>22082</v>
      </c>
      <c r="I22" s="52">
        <v>22631</v>
      </c>
      <c r="J22" s="52">
        <v>21508</v>
      </c>
      <c r="K22" s="67">
        <f>France!M7</f>
        <v>22051</v>
      </c>
      <c r="L22" s="52">
        <f>France!N7</f>
        <v>22294</v>
      </c>
      <c r="M22" s="52">
        <f>France!O7</f>
        <v>24318</v>
      </c>
      <c r="N22" s="52">
        <f>France!P7</f>
        <v>26065</v>
      </c>
      <c r="O22" s="67">
        <f>France!Q7</f>
        <v>22808</v>
      </c>
      <c r="P22" s="52">
        <f>France!R7</f>
        <v>20025</v>
      </c>
      <c r="Q22" s="121">
        <f>France!S7</f>
        <v>22762</v>
      </c>
      <c r="R22" s="121">
        <f>France!T7</f>
        <v>23950</v>
      </c>
      <c r="S22" s="121">
        <f>France!U7</f>
        <v>21383</v>
      </c>
      <c r="T22" s="121">
        <f>France!V7</f>
        <v>26642</v>
      </c>
      <c r="U22" s="121">
        <f>France!W7</f>
        <v>23616</v>
      </c>
      <c r="V22" s="121">
        <f>France!X7</f>
        <v>23683</v>
      </c>
      <c r="W22" s="121">
        <f>France!Y7</f>
        <v>21376</v>
      </c>
      <c r="X22" s="121">
        <f>France!Z7</f>
        <v>21206</v>
      </c>
      <c r="Y22" s="121">
        <f>France!AA7</f>
        <v>21211</v>
      </c>
      <c r="Z22" s="121">
        <f>France!AB7</f>
        <v>21230</v>
      </c>
      <c r="AA22" s="121">
        <f>France!AC7</f>
        <v>19345</v>
      </c>
      <c r="AB22" s="227">
        <f>France!AD7</f>
        <v>20105</v>
      </c>
      <c r="AC22" s="100">
        <f t="shared" si="2"/>
        <v>8.9576163311488877E-4</v>
      </c>
    </row>
    <row r="23" spans="1:29" x14ac:dyDescent="0.2">
      <c r="A23" s="7" t="s">
        <v>125</v>
      </c>
      <c r="B23" s="6">
        <v>248</v>
      </c>
      <c r="C23" s="6">
        <v>520</v>
      </c>
      <c r="D23" s="6">
        <v>381</v>
      </c>
      <c r="E23" s="6">
        <v>376</v>
      </c>
      <c r="F23" s="6">
        <v>220</v>
      </c>
      <c r="G23" s="6">
        <v>205</v>
      </c>
      <c r="H23" s="6">
        <f>Sweden!J7</f>
        <v>133.1</v>
      </c>
      <c r="I23" s="6">
        <f>Sweden!K7</f>
        <v>130</v>
      </c>
      <c r="J23" s="5">
        <f>Sweden!L7</f>
        <v>173</v>
      </c>
      <c r="K23" s="7">
        <f>Sweden!M7</f>
        <v>174</v>
      </c>
      <c r="L23" s="25">
        <f>Sweden!N7</f>
        <v>291</v>
      </c>
      <c r="M23" s="25">
        <f>Sweden!O7</f>
        <v>356</v>
      </c>
      <c r="N23" s="25">
        <f>Sweden!P7</f>
        <v>702</v>
      </c>
      <c r="O23" s="25">
        <f>Sweden!Q7</f>
        <v>443</v>
      </c>
      <c r="P23" s="6">
        <f>Sweden!R7</f>
        <v>675</v>
      </c>
      <c r="Q23" s="119">
        <f>Sweden!S7</f>
        <v>613</v>
      </c>
      <c r="R23" s="119">
        <f>Sweden!T7</f>
        <v>605</v>
      </c>
      <c r="S23" s="119">
        <f>Sweden!U7</f>
        <v>550</v>
      </c>
      <c r="T23" s="119">
        <f>Sweden!V7</f>
        <v>453</v>
      </c>
      <c r="U23" s="119">
        <f>Sweden!W7</f>
        <v>698</v>
      </c>
      <c r="V23" s="119">
        <f>Sweden!X7</f>
        <v>519.9</v>
      </c>
      <c r="W23" s="119">
        <f>Sweden!Y7</f>
        <v>522</v>
      </c>
      <c r="X23" s="119">
        <f>Sweden!Z7</f>
        <v>714</v>
      </c>
      <c r="Y23" s="119">
        <f>Sweden!AA7</f>
        <v>639</v>
      </c>
      <c r="Z23" s="119">
        <f>Sweden!AB7</f>
        <v>716</v>
      </c>
      <c r="AA23" s="119">
        <f>Sweden!AC7</f>
        <v>752.11</v>
      </c>
      <c r="AB23" s="228">
        <f>Sweden!AD7</f>
        <v>0</v>
      </c>
      <c r="AC23" s="100">
        <f t="shared" si="2"/>
        <v>0.12050078247261342</v>
      </c>
    </row>
    <row r="24" spans="1:29" x14ac:dyDescent="0.2">
      <c r="A24" s="7" t="s">
        <v>126</v>
      </c>
      <c r="B24" s="6">
        <v>29473</v>
      </c>
      <c r="C24" s="6">
        <v>25441</v>
      </c>
      <c r="D24" s="6">
        <v>17745</v>
      </c>
      <c r="E24" s="6">
        <v>18225</v>
      </c>
      <c r="F24" s="6">
        <v>15094</v>
      </c>
      <c r="G24" s="6">
        <v>14894</v>
      </c>
      <c r="H24" s="6">
        <f>UK!J7</f>
        <v>11280.8</v>
      </c>
      <c r="I24" s="6">
        <f>UK!K7</f>
        <v>11363</v>
      </c>
      <c r="J24" s="63">
        <f>UK!L7</f>
        <v>9517.4980392156867</v>
      </c>
      <c r="K24" s="63">
        <f>UK!M7</f>
        <v>9525</v>
      </c>
      <c r="L24" s="63">
        <f>UK!N7</f>
        <v>9050</v>
      </c>
      <c r="M24" s="63">
        <f>UK!O7</f>
        <v>9809</v>
      </c>
      <c r="N24" s="6">
        <f>UK!P7</f>
        <v>10220</v>
      </c>
      <c r="O24" s="6">
        <f>UK!Q7</f>
        <v>8707</v>
      </c>
      <c r="P24" s="6">
        <f>UK!R7</f>
        <v>7100</v>
      </c>
      <c r="Q24" s="119">
        <f>UK!S7</f>
        <v>9694</v>
      </c>
      <c r="R24" s="119">
        <f>UK!T7</f>
        <v>11947</v>
      </c>
      <c r="S24" s="119">
        <f>UK!U7</f>
        <v>13565.470000000001</v>
      </c>
      <c r="T24" s="119">
        <f>UK!V7</f>
        <v>9334.32</v>
      </c>
      <c r="U24" s="119">
        <f>UK!W7</f>
        <v>10271</v>
      </c>
      <c r="V24" s="119">
        <f>UK!X7</f>
        <v>9972.94</v>
      </c>
      <c r="W24" s="119">
        <f>UK!Y7</f>
        <v>9029.98</v>
      </c>
      <c r="X24" s="119">
        <f>UK!Z7</f>
        <v>10242</v>
      </c>
      <c r="Y24" s="119">
        <f>UK!AA7</f>
        <v>9754</v>
      </c>
      <c r="Z24" s="119">
        <f>UK!AB7</f>
        <v>11126.03</v>
      </c>
      <c r="AA24" s="119">
        <f>UK!AC7</f>
        <v>10793.88</v>
      </c>
      <c r="AB24" s="228">
        <f>UK!AD7</f>
        <v>9813.64</v>
      </c>
      <c r="AC24" s="100">
        <f t="shared" si="2"/>
        <v>0.14066331761328699</v>
      </c>
    </row>
    <row r="25" spans="1:29" x14ac:dyDescent="0.2">
      <c r="Z25" s="146"/>
      <c r="AC25" s="176"/>
    </row>
    <row r="26" spans="1:29" x14ac:dyDescent="0.2">
      <c r="Z26" s="146"/>
      <c r="AC26" s="176"/>
    </row>
    <row r="27" spans="1:29" ht="15.75" x14ac:dyDescent="0.25">
      <c r="A27" s="102" t="s">
        <v>130</v>
      </c>
      <c r="B27" s="44">
        <v>1997</v>
      </c>
      <c r="C27" s="44">
        <v>1998</v>
      </c>
      <c r="D27" s="44">
        <v>1999</v>
      </c>
      <c r="E27" s="44">
        <v>2000</v>
      </c>
      <c r="F27" s="44">
        <v>2001</v>
      </c>
      <c r="G27" s="44">
        <v>2002</v>
      </c>
      <c r="H27" s="109">
        <v>2003</v>
      </c>
      <c r="I27" s="109">
        <v>2004</v>
      </c>
      <c r="J27" s="109">
        <v>2005</v>
      </c>
      <c r="K27" s="110">
        <v>2006</v>
      </c>
      <c r="L27" s="109">
        <v>2007</v>
      </c>
      <c r="M27" s="111">
        <v>2008</v>
      </c>
      <c r="N27" s="109">
        <v>2009</v>
      </c>
      <c r="O27" s="109">
        <v>2010</v>
      </c>
      <c r="P27" s="111">
        <v>2011</v>
      </c>
      <c r="Q27" s="109">
        <v>2012</v>
      </c>
      <c r="R27" s="109">
        <v>2013</v>
      </c>
      <c r="S27" s="109">
        <v>2014</v>
      </c>
      <c r="T27" s="109">
        <v>2015</v>
      </c>
      <c r="U27" s="109">
        <v>2016</v>
      </c>
      <c r="V27" s="109">
        <v>2017</v>
      </c>
      <c r="W27" s="109">
        <v>2018</v>
      </c>
      <c r="X27" s="109">
        <v>2019</v>
      </c>
      <c r="Y27" s="109">
        <v>2020</v>
      </c>
      <c r="Z27" s="109">
        <v>2021</v>
      </c>
      <c r="AA27" s="109">
        <v>2022</v>
      </c>
      <c r="AB27" s="224" t="s">
        <v>119</v>
      </c>
      <c r="AC27" s="199" t="s">
        <v>120</v>
      </c>
    </row>
    <row r="28" spans="1:29" x14ac:dyDescent="0.2">
      <c r="A28" s="25" t="s">
        <v>122</v>
      </c>
      <c r="B28" s="6">
        <v>23024</v>
      </c>
      <c r="C28" s="6">
        <v>19187</v>
      </c>
      <c r="D28" s="6">
        <v>22538</v>
      </c>
      <c r="E28" s="6">
        <v>18769</v>
      </c>
      <c r="F28" s="6">
        <v>17762</v>
      </c>
      <c r="G28" s="6">
        <v>18102</v>
      </c>
      <c r="H28" s="119">
        <f>Germany!J6</f>
        <v>20814</v>
      </c>
      <c r="I28" s="119">
        <f>Germany!K6</f>
        <v>19539</v>
      </c>
      <c r="J28" s="119">
        <f>Germany!L6</f>
        <v>15608</v>
      </c>
      <c r="K28" s="120">
        <f>Germany!M6</f>
        <v>14633</v>
      </c>
      <c r="L28" s="119">
        <f>Germany!N6</f>
        <v>14198</v>
      </c>
      <c r="M28" s="119">
        <f>Germany!O6</f>
        <v>18252</v>
      </c>
      <c r="N28" s="119">
        <f>Germany!P6</f>
        <v>12523</v>
      </c>
      <c r="O28" s="120">
        <f>Germany!Q6</f>
        <v>8935</v>
      </c>
      <c r="P28" s="119">
        <f>Germany!R6</f>
        <v>9780</v>
      </c>
      <c r="Q28" s="119">
        <f>Germany!S6</f>
        <v>10073</v>
      </c>
      <c r="R28" s="119">
        <f>Germany!T6</f>
        <v>9480</v>
      </c>
      <c r="S28" s="119">
        <f>Germany!U6</f>
        <v>8292</v>
      </c>
      <c r="T28" s="119">
        <f>Germany!V6</f>
        <v>8083</v>
      </c>
      <c r="U28" s="119">
        <f>Germany!W6</f>
        <v>7759</v>
      </c>
      <c r="V28" s="119">
        <f>Germany!X6</f>
        <v>8111</v>
      </c>
      <c r="W28" s="119">
        <f>Germany!Y6</f>
        <v>10014</v>
      </c>
      <c r="X28" s="119">
        <f>Germany!Z6</f>
        <v>9728</v>
      </c>
      <c r="Y28" s="119">
        <f>Germany!AA6</f>
        <v>9168</v>
      </c>
      <c r="Z28" s="119">
        <f>Germany!AB6</f>
        <v>7984</v>
      </c>
      <c r="AA28" s="119">
        <f>Germany!AC6</f>
        <v>9111</v>
      </c>
      <c r="AB28" s="228">
        <f>Germany!AD6</f>
        <v>0</v>
      </c>
      <c r="AC28" s="100">
        <f>Z28/Y28-1</f>
        <v>-0.12914485165794065</v>
      </c>
    </row>
    <row r="29" spans="1:29" x14ac:dyDescent="0.2">
      <c r="A29" s="25" t="s">
        <v>123</v>
      </c>
      <c r="B29" s="6">
        <v>38309</v>
      </c>
      <c r="C29" s="6">
        <v>32366</v>
      </c>
      <c r="D29" s="6">
        <v>36647</v>
      </c>
      <c r="E29" s="6">
        <v>38770</v>
      </c>
      <c r="F29" s="6">
        <v>37250</v>
      </c>
      <c r="G29" s="6">
        <v>36730</v>
      </c>
      <c r="H29" s="119">
        <f>Denmark!J6</f>
        <v>29230</v>
      </c>
      <c r="I29" s="119">
        <f>Denmark!K6</f>
        <v>32565</v>
      </c>
      <c r="J29" s="119">
        <f>Denmark!L6</f>
        <v>32290</v>
      </c>
      <c r="K29" s="120">
        <f>Denmark!M6</f>
        <v>30515</v>
      </c>
      <c r="L29" s="120">
        <f>Denmark!N6</f>
        <v>27100</v>
      </c>
      <c r="M29" s="120">
        <f>Denmark!O6</f>
        <v>30978</v>
      </c>
      <c r="N29" s="120">
        <f>Denmark!P6</f>
        <v>24567</v>
      </c>
      <c r="O29" s="120">
        <f>Denmark!Q6</f>
        <v>20585</v>
      </c>
      <c r="P29" s="119">
        <f>Denmark!R6</f>
        <v>22755</v>
      </c>
      <c r="Q29" s="119">
        <f>Denmark!S6</f>
        <v>27764</v>
      </c>
      <c r="R29" s="119">
        <f>Denmark!T6</f>
        <v>26709</v>
      </c>
      <c r="S29" s="119">
        <f>Denmark!U6</f>
        <v>25251</v>
      </c>
      <c r="T29" s="119">
        <f>Denmark!V6</f>
        <v>28777</v>
      </c>
      <c r="U29" s="119">
        <f>Denmark!W6</f>
        <v>24702</v>
      </c>
      <c r="V29" s="119">
        <f>Denmark!X6</f>
        <v>25067</v>
      </c>
      <c r="W29" s="119">
        <f>Denmark!Y6</f>
        <v>27992</v>
      </c>
      <c r="X29" s="119">
        <f>Denmark!Z6</f>
        <v>24927</v>
      </c>
      <c r="Y29" s="119">
        <f>Denmark!AA6</f>
        <v>25200</v>
      </c>
      <c r="Z29" s="119">
        <f>Denmark!AB6</f>
        <v>24798</v>
      </c>
      <c r="AA29" s="119">
        <f>Denmark!AC6</f>
        <v>24138</v>
      </c>
      <c r="AB29" s="228">
        <f>Denmark!AD6</f>
        <v>0</v>
      </c>
      <c r="AC29" s="100">
        <f t="shared" ref="AC29:AC32" si="3">Z29/Y29-1</f>
        <v>-1.595238095238094E-2</v>
      </c>
    </row>
    <row r="30" spans="1:29" x14ac:dyDescent="0.2">
      <c r="A30" s="49" t="s">
        <v>7</v>
      </c>
      <c r="B30" s="52">
        <v>16889</v>
      </c>
      <c r="C30" s="52">
        <v>16147</v>
      </c>
      <c r="D30" s="52">
        <v>15798</v>
      </c>
      <c r="E30" s="52">
        <v>15483</v>
      </c>
      <c r="F30" s="52">
        <v>18303</v>
      </c>
      <c r="G30" s="52">
        <v>17338</v>
      </c>
      <c r="H30" s="121">
        <v>16656</v>
      </c>
      <c r="I30" s="121">
        <v>16109</v>
      </c>
      <c r="J30" s="121">
        <v>14916</v>
      </c>
      <c r="K30" s="122">
        <v>12953</v>
      </c>
      <c r="L30" s="121">
        <f>+France!N6</f>
        <v>13666</v>
      </c>
      <c r="M30" s="121">
        <f>+France!O6</f>
        <v>15452</v>
      </c>
      <c r="N30" s="121">
        <f>+France!P6</f>
        <v>15281</v>
      </c>
      <c r="O30" s="122">
        <f>+France!Q6</f>
        <v>12072</v>
      </c>
      <c r="P30" s="121">
        <f>France!R6</f>
        <v>11888</v>
      </c>
      <c r="Q30" s="121">
        <f>France!S6</f>
        <v>12733</v>
      </c>
      <c r="R30" s="121">
        <f>France!T6</f>
        <v>13636</v>
      </c>
      <c r="S30" s="121">
        <f>France!U6</f>
        <v>19257</v>
      </c>
      <c r="T30" s="121">
        <f>France!V6</f>
        <v>13925</v>
      </c>
      <c r="U30" s="121">
        <f>France!W6</f>
        <v>12404</v>
      </c>
      <c r="V30" s="121">
        <f>France!X6</f>
        <v>12550</v>
      </c>
      <c r="W30" s="121">
        <f>France!Y6</f>
        <v>11780</v>
      </c>
      <c r="X30" s="121">
        <f>France!Z6</f>
        <v>13139</v>
      </c>
      <c r="Y30" s="121">
        <f>France!AA6</f>
        <v>13373</v>
      </c>
      <c r="Z30" s="121">
        <f>France!AB6</f>
        <v>12720</v>
      </c>
      <c r="AA30" s="121">
        <f>France!AC6</f>
        <v>12299</v>
      </c>
      <c r="AB30" s="227">
        <f>France!AD6</f>
        <v>1371</v>
      </c>
      <c r="AC30" s="100">
        <f t="shared" si="3"/>
        <v>-4.8829731548642785E-2</v>
      </c>
    </row>
    <row r="31" spans="1:29" x14ac:dyDescent="0.2">
      <c r="A31" s="7" t="s">
        <v>125</v>
      </c>
      <c r="B31" s="6">
        <v>19991</v>
      </c>
      <c r="C31" s="6">
        <v>19737</v>
      </c>
      <c r="D31" s="6">
        <v>25021</v>
      </c>
      <c r="E31" s="6">
        <v>20716</v>
      </c>
      <c r="F31" s="6">
        <v>19491</v>
      </c>
      <c r="G31" s="6">
        <f>20669+84.5+132.5+50.8+140.2</f>
        <v>21077</v>
      </c>
      <c r="H31" s="119">
        <f>16717.6+92.6+76.3+393.6+105.2+52.7</f>
        <v>17437.999999999996</v>
      </c>
      <c r="I31" s="119"/>
      <c r="J31" s="119">
        <v>20085</v>
      </c>
      <c r="K31" s="120">
        <f>Sweden!M6</f>
        <v>15275</v>
      </c>
      <c r="L31" s="119">
        <f>Sweden!N6</f>
        <v>12667</v>
      </c>
      <c r="M31" s="119">
        <f>Sweden!O6</f>
        <v>13950</v>
      </c>
      <c r="N31" s="119">
        <f>Sweden!P6</f>
        <v>13778</v>
      </c>
      <c r="O31" s="120">
        <f>Sweden!Q6</f>
        <v>12803</v>
      </c>
      <c r="P31" s="119">
        <f>Sweden!R6</f>
        <v>14571</v>
      </c>
      <c r="Q31" s="119">
        <f>Sweden!S6</f>
        <v>17487</v>
      </c>
      <c r="R31" s="119">
        <f>Sweden!T6</f>
        <v>17093</v>
      </c>
      <c r="S31" s="119">
        <f>Sweden!U6</f>
        <v>13860</v>
      </c>
      <c r="T31" s="119">
        <f>Sweden!V6</f>
        <v>13414</v>
      </c>
      <c r="U31" s="119">
        <f>Sweden!W6</f>
        <v>12884</v>
      </c>
      <c r="V31" s="119">
        <f>Sweden!X6</f>
        <v>12716</v>
      </c>
      <c r="W31" s="119">
        <f>Sweden!Y6</f>
        <v>14881</v>
      </c>
      <c r="X31" s="119">
        <f>Sweden!Z6</f>
        <v>13161</v>
      </c>
      <c r="Y31" s="119">
        <f>Sweden!AA6</f>
        <v>13083</v>
      </c>
      <c r="Z31" s="119">
        <f>Sweden!AB6</f>
        <v>12889</v>
      </c>
      <c r="AA31" s="119">
        <f>Sweden!AC6</f>
        <v>13419.310000000001</v>
      </c>
      <c r="AB31" s="228">
        <f>Sweden!AD6</f>
        <v>0</v>
      </c>
      <c r="AC31" s="100">
        <f t="shared" si="3"/>
        <v>-1.4828403271420876E-2</v>
      </c>
    </row>
    <row r="32" spans="1:29" x14ac:dyDescent="0.2">
      <c r="A32" s="7" t="s">
        <v>126</v>
      </c>
      <c r="B32" s="6">
        <v>24808</v>
      </c>
      <c r="C32" s="6">
        <v>22217</v>
      </c>
      <c r="D32" s="6">
        <v>24715</v>
      </c>
      <c r="E32" s="6">
        <v>20922</v>
      </c>
      <c r="F32" s="6">
        <v>22648</v>
      </c>
      <c r="G32" s="6">
        <v>18546</v>
      </c>
      <c r="H32" s="119">
        <f>UK!J6</f>
        <v>19167.8</v>
      </c>
      <c r="I32" s="119">
        <f>UK!K6</f>
        <v>19631.5</v>
      </c>
      <c r="J32" s="124">
        <f>UK!L6</f>
        <v>17847.482352941177</v>
      </c>
      <c r="K32" s="120">
        <f>UK!M6</f>
        <v>15469</v>
      </c>
      <c r="L32" s="120"/>
      <c r="M32" s="120"/>
      <c r="N32" s="120">
        <f>UK!P6</f>
        <v>19483</v>
      </c>
      <c r="O32" s="120">
        <f>UK!Q6</f>
        <v>16996</v>
      </c>
      <c r="P32" s="119">
        <f>UK!R6</f>
        <v>16589</v>
      </c>
      <c r="Q32" s="119">
        <f>UK!S6</f>
        <v>20665</v>
      </c>
      <c r="R32" s="119">
        <f>UK!T6</f>
        <v>22856</v>
      </c>
      <c r="S32" s="119">
        <f>UK!U6</f>
        <v>19091.71</v>
      </c>
      <c r="T32" s="119">
        <f>UK!V6</f>
        <v>18348.22</v>
      </c>
      <c r="U32" s="119">
        <f>UK!W6</f>
        <v>17934</v>
      </c>
      <c r="V32" s="119">
        <f>UK!X6</f>
        <v>20248.759999999995</v>
      </c>
      <c r="W32" s="119">
        <f>UK!Y6</f>
        <v>21898.459999999988</v>
      </c>
      <c r="X32" s="119">
        <f>UK!Z6</f>
        <v>21454</v>
      </c>
      <c r="Y32" s="119">
        <f>UK!AA6</f>
        <v>23333</v>
      </c>
      <c r="Z32" s="119">
        <f>UK!AB6</f>
        <v>19744.05999999999</v>
      </c>
      <c r="AA32" s="119">
        <f>UK!AC6</f>
        <v>17250.620000000006</v>
      </c>
      <c r="AB32" s="228">
        <f>UK!AD6</f>
        <v>5163.5</v>
      </c>
      <c r="AC32" s="100">
        <f t="shared" si="3"/>
        <v>-0.1538139116273094</v>
      </c>
    </row>
    <row r="33" spans="1:29" x14ac:dyDescent="0.2">
      <c r="Z33" s="146"/>
      <c r="AC33" s="176"/>
    </row>
    <row r="34" spans="1:29" x14ac:dyDescent="0.2">
      <c r="Z34" s="146"/>
      <c r="AC34" s="176"/>
    </row>
    <row r="35" spans="1:29" ht="15.75" x14ac:dyDescent="0.25">
      <c r="A35" s="102" t="s">
        <v>131</v>
      </c>
      <c r="B35" s="44">
        <v>1997</v>
      </c>
      <c r="C35" s="44">
        <v>1998</v>
      </c>
      <c r="D35" s="44">
        <v>1999</v>
      </c>
      <c r="E35" s="44">
        <v>2000</v>
      </c>
      <c r="F35" s="44">
        <v>2001</v>
      </c>
      <c r="G35" s="44">
        <v>2002</v>
      </c>
      <c r="H35" s="109">
        <v>2003</v>
      </c>
      <c r="I35" s="109">
        <v>2004</v>
      </c>
      <c r="J35" s="109">
        <v>2005</v>
      </c>
      <c r="K35" s="110">
        <v>2006</v>
      </c>
      <c r="L35" s="109">
        <v>2007</v>
      </c>
      <c r="M35" s="111">
        <v>2008</v>
      </c>
      <c r="N35" s="109">
        <v>2009</v>
      </c>
      <c r="O35" s="109">
        <v>2010</v>
      </c>
      <c r="P35" s="111">
        <v>2011</v>
      </c>
      <c r="Q35" s="109">
        <v>2012</v>
      </c>
      <c r="R35" s="109">
        <v>2013</v>
      </c>
      <c r="S35" s="109">
        <v>2014</v>
      </c>
      <c r="T35" s="109">
        <v>2015</v>
      </c>
      <c r="U35" s="109">
        <v>2016</v>
      </c>
      <c r="V35" s="109">
        <v>2017</v>
      </c>
      <c r="W35" s="109">
        <v>2018</v>
      </c>
      <c r="X35" s="109">
        <v>2019</v>
      </c>
      <c r="Y35" s="109">
        <v>2020</v>
      </c>
      <c r="Z35" s="109">
        <v>2021</v>
      </c>
      <c r="AA35" s="109">
        <v>2022</v>
      </c>
      <c r="AB35" s="224" t="s">
        <v>119</v>
      </c>
      <c r="AC35" s="199" t="s">
        <v>120</v>
      </c>
    </row>
    <row r="36" spans="1:29" x14ac:dyDescent="0.2">
      <c r="A36" s="25" t="s">
        <v>121</v>
      </c>
      <c r="B36" s="6">
        <v>256</v>
      </c>
      <c r="C36" s="6">
        <v>283</v>
      </c>
      <c r="D36" s="6">
        <v>225</v>
      </c>
      <c r="E36" s="6">
        <v>211</v>
      </c>
      <c r="F36" s="6">
        <v>230</v>
      </c>
      <c r="G36" s="6">
        <v>260</v>
      </c>
      <c r="H36" s="6">
        <f>Belgium!J9</f>
        <v>287</v>
      </c>
      <c r="I36" s="6">
        <f>Belgium!K9</f>
        <v>298</v>
      </c>
      <c r="J36" s="6">
        <f>Belgium!L9</f>
        <v>235</v>
      </c>
      <c r="K36" s="25">
        <f>Belgium!M9</f>
        <v>222</v>
      </c>
      <c r="L36" s="6">
        <f>Belgium!N9</f>
        <v>222</v>
      </c>
      <c r="M36" s="6">
        <f>Belgium!O9</f>
        <v>245</v>
      </c>
      <c r="N36" s="6">
        <f>Belgium!P9</f>
        <v>203</v>
      </c>
      <c r="O36" s="6">
        <f>Belgium!Q9</f>
        <v>216</v>
      </c>
      <c r="P36" s="6">
        <f>Belgium!R9</f>
        <v>180</v>
      </c>
      <c r="Q36" s="119">
        <f>Belgium!S9</f>
        <v>222.5</v>
      </c>
      <c r="R36" s="119">
        <f>Belgium!T9</f>
        <v>211.15</v>
      </c>
      <c r="S36" s="119">
        <f>Belgium!U9</f>
        <v>153</v>
      </c>
      <c r="T36" s="119">
        <f>Belgium!V9</f>
        <v>142</v>
      </c>
      <c r="U36" s="119">
        <f>Belgium!W9</f>
        <v>170</v>
      </c>
      <c r="V36" s="119">
        <f>Belgium!X9</f>
        <v>227</v>
      </c>
      <c r="W36" s="119">
        <f>Belgium!Y9</f>
        <v>176</v>
      </c>
      <c r="X36" s="119">
        <f>Belgium!Z9</f>
        <v>287</v>
      </c>
      <c r="Y36" s="119">
        <f>Belgium!AA9</f>
        <v>319</v>
      </c>
      <c r="Z36" s="119">
        <f>Belgium!AB9</f>
        <v>254</v>
      </c>
      <c r="AA36" s="119">
        <f>Belgium!AC9</f>
        <v>279</v>
      </c>
      <c r="AB36" s="228">
        <f>Belgium!AD9</f>
        <v>280</v>
      </c>
      <c r="AC36" s="100">
        <f>Z36/Y36-1</f>
        <v>-0.20376175548589337</v>
      </c>
    </row>
    <row r="37" spans="1:29" x14ac:dyDescent="0.2">
      <c r="A37" s="25" t="s">
        <v>122</v>
      </c>
      <c r="B37" s="23">
        <v>14105</v>
      </c>
      <c r="C37" s="23">
        <v>14181</v>
      </c>
      <c r="D37" s="23">
        <v>13722</v>
      </c>
      <c r="E37" s="23">
        <v>14887</v>
      </c>
      <c r="F37" s="23">
        <v>17122</v>
      </c>
      <c r="G37" s="23">
        <v>18606</v>
      </c>
      <c r="H37" s="23">
        <f>Germany!J12+Germany!J11</f>
        <v>19185</v>
      </c>
      <c r="I37" s="23">
        <f>Germany!K12+Germany!K11</f>
        <v>19532</v>
      </c>
      <c r="J37" s="23">
        <f>Germany!L12+Germany!L11</f>
        <v>15080</v>
      </c>
      <c r="K37" s="23">
        <f>Germany!M12+Germany!M11</f>
        <v>13294</v>
      </c>
      <c r="L37" s="6">
        <f>Germany!N12+Germany!N11</f>
        <v>10965</v>
      </c>
      <c r="M37" s="6">
        <f>Germany!O12+Germany!O11</f>
        <v>10977</v>
      </c>
      <c r="N37" s="6">
        <f>Germany!P12+Germany!P11</f>
        <v>10465</v>
      </c>
      <c r="O37" s="6">
        <f>Germany!Q12+Germany!Q11</f>
        <v>10530</v>
      </c>
      <c r="P37" s="6">
        <f>Germany!R11+Germany!R12</f>
        <v>10622</v>
      </c>
      <c r="Q37" s="119">
        <f>Germany!S11+Germany!S12</f>
        <v>11033</v>
      </c>
      <c r="R37" s="119">
        <f>Germany!T11+Germany!T12</f>
        <v>11742</v>
      </c>
      <c r="S37" s="119">
        <f>Germany!U11+Germany!U12</f>
        <v>10298</v>
      </c>
      <c r="T37" s="119">
        <f>Germany!V11+Germany!V12</f>
        <v>10106</v>
      </c>
      <c r="U37" s="119">
        <f>Germany!W11+Germany!W12</f>
        <v>10301</v>
      </c>
      <c r="V37" s="119">
        <f>Germany!X11+Germany!X12</f>
        <v>11041</v>
      </c>
      <c r="W37" s="119">
        <f>Germany!Y11+Germany!Y12</f>
        <v>10947</v>
      </c>
      <c r="X37" s="119">
        <f>Germany!Z11+Germany!Z12</f>
        <v>11426</v>
      </c>
      <c r="Y37" s="119">
        <f>Germany!AA11+Germany!AA12</f>
        <v>10540</v>
      </c>
      <c r="Z37" s="119">
        <f>Germany!AB11+Germany!AB12</f>
        <v>9735</v>
      </c>
      <c r="AA37" s="119">
        <f>Germany!AC11+Germany!AC12</f>
        <v>9600</v>
      </c>
      <c r="AB37" s="228">
        <f>Germany!AD11+Germany!AD12</f>
        <v>0</v>
      </c>
      <c r="AC37" s="100">
        <f t="shared" ref="AC37:AC42" si="4">Z37/Y37-1</f>
        <v>-7.6375711574952598E-2</v>
      </c>
    </row>
    <row r="38" spans="1:29" x14ac:dyDescent="0.2">
      <c r="A38" s="25" t="s">
        <v>123</v>
      </c>
      <c r="B38" s="6">
        <v>590</v>
      </c>
      <c r="C38" s="6">
        <v>1196</v>
      </c>
      <c r="D38" s="6">
        <v>2233</v>
      </c>
      <c r="E38" s="6">
        <v>1844</v>
      </c>
      <c r="F38" s="6">
        <v>2372</v>
      </c>
      <c r="G38" s="6">
        <v>1405</v>
      </c>
      <c r="H38" s="6">
        <f>Denmark!J10</f>
        <v>1455</v>
      </c>
      <c r="I38" s="6">
        <f>Denmark!K10</f>
        <v>1657</v>
      </c>
      <c r="J38" s="6">
        <f>Denmark!L10</f>
        <v>1795</v>
      </c>
      <c r="K38" s="25">
        <f>Denmark!M10</f>
        <v>1678</v>
      </c>
      <c r="L38" s="6">
        <f>Denmark!N10</f>
        <v>1582</v>
      </c>
      <c r="M38" s="6">
        <f>Denmark!O10</f>
        <v>1829</v>
      </c>
      <c r="N38" s="6">
        <f>Denmark!P10</f>
        <v>1674</v>
      </c>
      <c r="O38" s="6">
        <f>Denmark!Q10</f>
        <v>987</v>
      </c>
      <c r="P38" s="6">
        <f>Denmark!R10</f>
        <v>1448</v>
      </c>
      <c r="Q38" s="119">
        <f>Denmark!S10</f>
        <v>949</v>
      </c>
      <c r="R38" s="119">
        <f>Denmark!T10</f>
        <v>649</v>
      </c>
      <c r="S38" s="119">
        <f>Denmark!U10</f>
        <v>423</v>
      </c>
      <c r="T38" s="119">
        <f>Denmark!V10</f>
        <v>822</v>
      </c>
      <c r="U38" s="119">
        <f>Denmark!W10</f>
        <v>273</v>
      </c>
      <c r="V38" s="119">
        <f>Denmark!X10</f>
        <v>270</v>
      </c>
      <c r="W38" s="119">
        <f>Denmark!Y10</f>
        <v>222</v>
      </c>
      <c r="X38" s="119">
        <f>Denmark!Z10</f>
        <v>399</v>
      </c>
      <c r="Y38" s="119">
        <f>Denmark!AA10</f>
        <v>299</v>
      </c>
      <c r="Z38" s="119">
        <f>Denmark!AB10</f>
        <v>229</v>
      </c>
      <c r="AA38" s="119">
        <f>Denmark!AC10</f>
        <v>205</v>
      </c>
      <c r="AB38" s="228">
        <f>Denmark!AD10</f>
        <v>0</v>
      </c>
      <c r="AC38" s="100">
        <f t="shared" si="4"/>
        <v>-0.23411371237458189</v>
      </c>
    </row>
    <row r="39" spans="1:29" x14ac:dyDescent="0.2">
      <c r="A39" s="49" t="s">
        <v>7</v>
      </c>
      <c r="B39" s="52">
        <v>6227</v>
      </c>
      <c r="C39" s="52">
        <v>6773</v>
      </c>
      <c r="D39" s="52">
        <v>6015</v>
      </c>
      <c r="E39" s="52">
        <v>5957</v>
      </c>
      <c r="F39" s="52">
        <v>6779</v>
      </c>
      <c r="G39" s="52">
        <v>8209</v>
      </c>
      <c r="H39" s="52">
        <v>8367</v>
      </c>
      <c r="I39" s="52">
        <v>9520</v>
      </c>
      <c r="J39" s="52">
        <v>9221</v>
      </c>
      <c r="K39" s="67">
        <f>France!M11</f>
        <v>7715</v>
      </c>
      <c r="L39" s="52">
        <f>France!N11</f>
        <v>6776</v>
      </c>
      <c r="M39" s="52">
        <f>+France!O11</f>
        <v>7070</v>
      </c>
      <c r="N39" s="52">
        <f>+France!P11</f>
        <v>7477</v>
      </c>
      <c r="O39" s="52">
        <f>+France!Q11</f>
        <v>8773</v>
      </c>
      <c r="P39" s="52">
        <f>France!R11</f>
        <v>7769</v>
      </c>
      <c r="Q39" s="121">
        <f>France!S11</f>
        <v>8614</v>
      </c>
      <c r="R39" s="121">
        <f>France!T11</f>
        <v>8454</v>
      </c>
      <c r="S39" s="121">
        <f>France!U11</f>
        <v>9684</v>
      </c>
      <c r="T39" s="121">
        <f>France!V11</f>
        <v>9908</v>
      </c>
      <c r="U39" s="121">
        <f>France!W11</f>
        <v>8035</v>
      </c>
      <c r="V39" s="121">
        <f>France!X11</f>
        <v>7093</v>
      </c>
      <c r="W39" s="121">
        <f>France!Y11</f>
        <v>7067</v>
      </c>
      <c r="X39" s="121">
        <f>France!Z11</f>
        <v>6923</v>
      </c>
      <c r="Y39" s="121">
        <f>France!AA11</f>
        <v>7089</v>
      </c>
      <c r="Z39" s="121">
        <f>France!AB11</f>
        <v>8082</v>
      </c>
      <c r="AA39" s="121">
        <f>France!AC11</f>
        <v>7335</v>
      </c>
      <c r="AB39" s="227">
        <f>France!AD11</f>
        <v>7536</v>
      </c>
      <c r="AC39" s="100">
        <f t="shared" si="4"/>
        <v>0.14007617435463393</v>
      </c>
    </row>
    <row r="40" spans="1:29" x14ac:dyDescent="0.2">
      <c r="A40" s="7" t="s">
        <v>125</v>
      </c>
      <c r="B40" s="6">
        <v>3155</v>
      </c>
      <c r="C40" s="6">
        <v>3141</v>
      </c>
      <c r="D40" s="6">
        <v>2328</v>
      </c>
      <c r="E40" s="6">
        <v>2574</v>
      </c>
      <c r="F40" s="6">
        <v>2629</v>
      </c>
      <c r="G40" s="6">
        <f>2134+150+23.8+30.6</f>
        <v>2338.4</v>
      </c>
      <c r="H40" s="6">
        <f>2469.7+146.3+129.5+45.2</f>
        <v>2790.7</v>
      </c>
      <c r="I40" s="6">
        <f>Sweden!K10</f>
        <v>2430</v>
      </c>
      <c r="J40" s="6">
        <v>2915</v>
      </c>
      <c r="K40" s="25">
        <f>Sweden!M10</f>
        <v>2563</v>
      </c>
      <c r="L40" s="6">
        <f>Sweden!N10</f>
        <v>2867</v>
      </c>
      <c r="M40" s="6">
        <f>Sweden!O10</f>
        <v>2538</v>
      </c>
      <c r="N40" s="6">
        <f>Sweden!P10</f>
        <v>2610</v>
      </c>
      <c r="O40" s="6">
        <f>Sweden!Q10</f>
        <v>1943</v>
      </c>
      <c r="P40" s="6">
        <f>Sweden!R10</f>
        <v>1780</v>
      </c>
      <c r="Q40" s="119">
        <f>Sweden!S10</f>
        <v>1939</v>
      </c>
      <c r="R40" s="119">
        <f>Sweden!T10</f>
        <v>1886</v>
      </c>
      <c r="S40" s="119">
        <f>Sweden!U10</f>
        <v>2387</v>
      </c>
      <c r="T40" s="119">
        <f>Sweden!V10</f>
        <v>1940</v>
      </c>
      <c r="U40" s="119">
        <f>Sweden!W10</f>
        <v>1412</v>
      </c>
      <c r="V40" s="119">
        <f>Sweden!X10</f>
        <v>1143.7</v>
      </c>
      <c r="W40" s="119">
        <f>Sweden!Y10</f>
        <v>1179</v>
      </c>
      <c r="X40" s="119">
        <f>Sweden!Z10</f>
        <v>1588</v>
      </c>
      <c r="Y40" s="119">
        <f>Sweden!AA10</f>
        <v>1421</v>
      </c>
      <c r="Z40" s="119">
        <f>Sweden!AB10</f>
        <v>1687</v>
      </c>
      <c r="AA40" s="119">
        <f>Sweden!AC10</f>
        <v>1172.9000000000001</v>
      </c>
      <c r="AB40" s="228">
        <f>Sweden!AD10</f>
        <v>0</v>
      </c>
      <c r="AC40" s="100">
        <f t="shared" si="4"/>
        <v>0.18719211822660098</v>
      </c>
    </row>
    <row r="41" spans="1:29" x14ac:dyDescent="0.2">
      <c r="A41" s="7" t="s">
        <v>127</v>
      </c>
      <c r="B41" s="6"/>
      <c r="C41" s="6">
        <v>40</v>
      </c>
      <c r="D41" s="6">
        <v>6</v>
      </c>
      <c r="E41" s="6">
        <v>13</v>
      </c>
      <c r="F41" s="6">
        <v>10</v>
      </c>
      <c r="G41" s="6"/>
      <c r="H41" s="6"/>
      <c r="I41" s="5"/>
      <c r="J41" s="5"/>
      <c r="K41" s="25"/>
      <c r="L41" s="6"/>
      <c r="M41" s="6"/>
      <c r="N41" s="6">
        <f>Finland!P10</f>
        <v>0</v>
      </c>
      <c r="O41" s="6">
        <f>Finland!Q10</f>
        <v>0</v>
      </c>
      <c r="P41" s="6">
        <f>Finland!R10</f>
        <v>0</v>
      </c>
      <c r="Q41" s="119">
        <f>Finland!S10</f>
        <v>0</v>
      </c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228"/>
      <c r="AC41" s="100" t="e">
        <f t="shared" si="4"/>
        <v>#DIV/0!</v>
      </c>
    </row>
    <row r="42" spans="1:29" x14ac:dyDescent="0.2">
      <c r="A42" s="7" t="s">
        <v>126</v>
      </c>
      <c r="B42" s="6">
        <v>285</v>
      </c>
      <c r="C42" s="6">
        <v>500</v>
      </c>
      <c r="D42" s="6">
        <v>611</v>
      </c>
      <c r="E42" s="6">
        <v>613</v>
      </c>
      <c r="F42" s="6">
        <v>715</v>
      </c>
      <c r="G42" s="6">
        <v>707</v>
      </c>
      <c r="H42" s="6">
        <f>UK!J10</f>
        <v>706.1</v>
      </c>
      <c r="I42" s="6">
        <f>UK!K10</f>
        <v>755.8</v>
      </c>
      <c r="J42" s="63">
        <f>UK!L10</f>
        <v>947.8</v>
      </c>
      <c r="K42" s="7">
        <f>UK!M10</f>
        <v>1062</v>
      </c>
      <c r="L42" s="6">
        <v>0</v>
      </c>
      <c r="M42" s="6">
        <v>0</v>
      </c>
      <c r="N42" s="6">
        <f>UK!P10</f>
        <v>551</v>
      </c>
      <c r="O42" s="6">
        <v>0</v>
      </c>
      <c r="P42" s="6">
        <f>UK!R10</f>
        <v>444</v>
      </c>
      <c r="Q42" s="119">
        <f>UK!S10</f>
        <v>552</v>
      </c>
      <c r="R42" s="119">
        <f>UK!T10</f>
        <v>1000</v>
      </c>
      <c r="S42" s="119">
        <f>UK!U10</f>
        <v>664</v>
      </c>
      <c r="T42" s="119">
        <f>UK!V10</f>
        <v>663</v>
      </c>
      <c r="U42" s="119">
        <f>UK!W10</f>
        <v>494</v>
      </c>
      <c r="V42" s="119">
        <f>UK!X10</f>
        <v>240</v>
      </c>
      <c r="W42" s="119">
        <f>UK!Y10</f>
        <v>244</v>
      </c>
      <c r="X42" s="119">
        <f>UK!Z10</f>
        <v>681</v>
      </c>
      <c r="Y42" s="119">
        <f>UK!AA10</f>
        <v>1164</v>
      </c>
      <c r="Z42" s="119">
        <f>UK!AB10</f>
        <v>1187.7</v>
      </c>
      <c r="AA42" s="119">
        <f>UK!AC10</f>
        <v>795.4</v>
      </c>
      <c r="AB42" s="228">
        <f>UK!AD10</f>
        <v>340.9</v>
      </c>
      <c r="AC42" s="100">
        <f t="shared" si="4"/>
        <v>2.0360824742268191E-2</v>
      </c>
    </row>
    <row r="43" spans="1:29" x14ac:dyDescent="0.2">
      <c r="Z43" s="146"/>
      <c r="AC43" s="176"/>
    </row>
    <row r="44" spans="1:29" x14ac:dyDescent="0.2">
      <c r="Z44" s="146"/>
      <c r="AC44" s="176"/>
    </row>
    <row r="45" spans="1:29" ht="15.75" x14ac:dyDescent="0.25">
      <c r="A45" s="102" t="s">
        <v>132</v>
      </c>
      <c r="B45" s="44">
        <v>1997</v>
      </c>
      <c r="C45" s="44">
        <v>1998</v>
      </c>
      <c r="D45" s="44">
        <v>1999</v>
      </c>
      <c r="E45" s="44">
        <v>2000</v>
      </c>
      <c r="F45" s="44">
        <v>2001</v>
      </c>
      <c r="G45" s="44">
        <v>2002</v>
      </c>
      <c r="H45" s="109">
        <v>2003</v>
      </c>
      <c r="I45" s="109">
        <v>2004</v>
      </c>
      <c r="J45" s="109">
        <v>2005</v>
      </c>
      <c r="K45" s="110">
        <v>2006</v>
      </c>
      <c r="L45" s="109">
        <v>2007</v>
      </c>
      <c r="M45" s="111">
        <v>2008</v>
      </c>
      <c r="N45" s="109">
        <v>2009</v>
      </c>
      <c r="O45" s="109">
        <v>2010</v>
      </c>
      <c r="P45" s="111">
        <v>2011</v>
      </c>
      <c r="Q45" s="109">
        <v>2012</v>
      </c>
      <c r="R45" s="109">
        <v>2013</v>
      </c>
      <c r="S45" s="109">
        <v>2014</v>
      </c>
      <c r="T45" s="109">
        <v>2015</v>
      </c>
      <c r="U45" s="109">
        <v>2016</v>
      </c>
      <c r="V45" s="109">
        <v>2017</v>
      </c>
      <c r="W45" s="109">
        <v>2018</v>
      </c>
      <c r="X45" s="109">
        <v>2019</v>
      </c>
      <c r="Y45" s="109">
        <v>2020</v>
      </c>
      <c r="Z45" s="109">
        <v>2021</v>
      </c>
      <c r="AA45" s="109">
        <v>2022</v>
      </c>
      <c r="AB45" s="224" t="s">
        <v>119</v>
      </c>
      <c r="AC45" s="199" t="s">
        <v>120</v>
      </c>
    </row>
    <row r="46" spans="1:29" x14ac:dyDescent="0.2">
      <c r="A46" s="25" t="s">
        <v>121</v>
      </c>
      <c r="B46" s="6">
        <v>164</v>
      </c>
      <c r="C46" s="6">
        <v>140</v>
      </c>
      <c r="D46" s="6">
        <v>106</v>
      </c>
      <c r="E46" s="6">
        <v>42</v>
      </c>
      <c r="F46" s="6">
        <v>37</v>
      </c>
      <c r="G46" s="6">
        <v>27</v>
      </c>
      <c r="H46" s="6">
        <f>Belgium!J8</f>
        <v>40</v>
      </c>
      <c r="I46" s="6">
        <f>Belgium!K8</f>
        <v>72</v>
      </c>
      <c r="J46" s="6">
        <f>Belgium!L8</f>
        <v>58.39</v>
      </c>
      <c r="K46" s="25">
        <f>Belgium!M8</f>
        <v>44</v>
      </c>
      <c r="L46" s="6">
        <f>Belgium!N8</f>
        <v>56</v>
      </c>
      <c r="M46" s="6">
        <f>Belgium!O8</f>
        <v>34</v>
      </c>
      <c r="N46" s="6">
        <f>Belgium!P8</f>
        <v>8</v>
      </c>
      <c r="O46" s="25">
        <f>Belgium!Q8</f>
        <v>16</v>
      </c>
      <c r="P46" s="6">
        <f>Belgium!R8</f>
        <v>15</v>
      </c>
      <c r="Q46" s="119">
        <f>Belgium!S8</f>
        <v>17</v>
      </c>
      <c r="R46" s="119">
        <f>Belgium!T8</f>
        <v>18</v>
      </c>
      <c r="S46" s="119">
        <f>Belgium!U8</f>
        <v>19</v>
      </c>
      <c r="T46" s="119">
        <f>Belgium!V8</f>
        <v>0</v>
      </c>
      <c r="U46" s="119">
        <f>Belgium!W8</f>
        <v>0</v>
      </c>
      <c r="V46" s="119">
        <f>Belgium!X8</f>
        <v>0</v>
      </c>
      <c r="W46" s="119">
        <f>Belgium!Y8</f>
        <v>44</v>
      </c>
      <c r="X46" s="119">
        <f>Belgium!Z8</f>
        <v>21</v>
      </c>
      <c r="Y46" s="119">
        <f>Belgium!AA8</f>
        <v>0</v>
      </c>
      <c r="Z46" s="119">
        <f>Belgium!AB8</f>
        <v>35</v>
      </c>
      <c r="AA46" s="119">
        <f>Belgium!AC8</f>
        <v>39</v>
      </c>
      <c r="AB46" s="228">
        <f>Belgium!AD8</f>
        <v>23</v>
      </c>
      <c r="AC46" s="100" t="e">
        <f>Z46/Y46-1</f>
        <v>#DIV/0!</v>
      </c>
    </row>
    <row r="47" spans="1:29" x14ac:dyDescent="0.2">
      <c r="A47" s="25" t="s">
        <v>122</v>
      </c>
      <c r="B47" s="23">
        <v>15426</v>
      </c>
      <c r="C47" s="23">
        <v>14889</v>
      </c>
      <c r="D47" s="23">
        <v>16145</v>
      </c>
      <c r="E47" s="23">
        <v>13957</v>
      </c>
      <c r="F47" s="23">
        <v>12803</v>
      </c>
      <c r="G47" s="23">
        <v>11856</v>
      </c>
      <c r="H47" s="23">
        <f>Germany!J10+Germany!J9</f>
        <v>9776</v>
      </c>
      <c r="I47" s="23">
        <f>Germany!K10+Germany!K9</f>
        <v>10213</v>
      </c>
      <c r="J47" s="23">
        <f>Germany!L10+Germany!L9</f>
        <v>8115</v>
      </c>
      <c r="K47" s="23">
        <f>Germany!M10+Germany!M9</f>
        <v>8822</v>
      </c>
      <c r="L47" s="6">
        <f>Germany!N10+Germany!N9</f>
        <v>9963</v>
      </c>
      <c r="M47" s="6">
        <f>Germany!O10+Germany!O9</f>
        <v>12336</v>
      </c>
      <c r="N47" s="6">
        <f>Germany!P10+Germany!P9</f>
        <v>13221</v>
      </c>
      <c r="O47" s="25">
        <f>Germany!Q10+Germany!Q9</f>
        <v>9533</v>
      </c>
      <c r="P47" s="6">
        <f>Germany!R10+Germany!R9</f>
        <v>11469</v>
      </c>
      <c r="Q47" s="119">
        <f>Germany!S9+Germany!S10</f>
        <v>13309</v>
      </c>
      <c r="R47" s="119">
        <f>Germany!T10+Germany!T9</f>
        <v>13586</v>
      </c>
      <c r="S47" s="119">
        <f>Germany!U10+Germany!U9</f>
        <v>11720</v>
      </c>
      <c r="T47" s="119">
        <f>Germany!V10+Germany!V9</f>
        <v>11893</v>
      </c>
      <c r="U47" s="119">
        <f>Germany!W10+Germany!W9</f>
        <v>9263</v>
      </c>
      <c r="V47" s="119">
        <f>Germany!X10+Germany!X9</f>
        <v>9577</v>
      </c>
      <c r="W47" s="119">
        <f>Germany!Y10+Germany!Y9</f>
        <v>10566</v>
      </c>
      <c r="X47" s="119">
        <f>Germany!Z10+Germany!Z9</f>
        <v>12306</v>
      </c>
      <c r="Y47" s="119">
        <f>Germany!AA10+Germany!AA9</f>
        <v>12755</v>
      </c>
      <c r="Z47" s="119">
        <f>Germany!AB10+Germany!AB9</f>
        <v>12943</v>
      </c>
      <c r="AA47" s="119">
        <f>Germany!AC10+Germany!AC9</f>
        <v>14761</v>
      </c>
      <c r="AB47" s="228">
        <f>Germany!AD10+Germany!AD9</f>
        <v>0</v>
      </c>
      <c r="AC47" s="100">
        <f t="shared" ref="AC47:AC52" si="5">Z47/Y47-1</f>
        <v>1.4739317914543415E-2</v>
      </c>
    </row>
    <row r="48" spans="1:29" x14ac:dyDescent="0.2">
      <c r="A48" s="25" t="s">
        <v>123</v>
      </c>
      <c r="B48" s="6">
        <v>2869</v>
      </c>
      <c r="C48" s="6">
        <v>3267</v>
      </c>
      <c r="D48" s="6">
        <v>2234</v>
      </c>
      <c r="E48" s="6">
        <v>2557</v>
      </c>
      <c r="F48" s="6">
        <v>2433</v>
      </c>
      <c r="G48" s="6">
        <v>2040</v>
      </c>
      <c r="H48" s="6">
        <f>Denmark!J9</f>
        <v>1683</v>
      </c>
      <c r="I48" s="6">
        <f>Denmark!K9</f>
        <v>1620</v>
      </c>
      <c r="J48" s="6">
        <f>Denmark!L9</f>
        <v>1104</v>
      </c>
      <c r="K48" s="25">
        <f>Denmark!M9</f>
        <v>851</v>
      </c>
      <c r="L48" s="25"/>
      <c r="M48" s="25">
        <f>Denmark!O9</f>
        <v>1417</v>
      </c>
      <c r="N48" s="25">
        <f>Denmark!P9</f>
        <v>1800</v>
      </c>
      <c r="O48" s="25">
        <f>Denmark!Q9</f>
        <v>1549</v>
      </c>
      <c r="P48" s="6">
        <f>Denmark!R9</f>
        <v>1351</v>
      </c>
      <c r="Q48" s="119">
        <f>Denmark!S9</f>
        <v>1609</v>
      </c>
      <c r="R48" s="119">
        <f>Denmark!T9</f>
        <v>2358</v>
      </c>
      <c r="S48" s="119">
        <f>Denmark!U9</f>
        <v>1996</v>
      </c>
      <c r="T48" s="119">
        <f>Denmark!V9</f>
        <v>2538</v>
      </c>
      <c r="U48" s="119">
        <f>Denmark!W9</f>
        <v>1756</v>
      </c>
      <c r="V48" s="119">
        <f>Denmark!X9</f>
        <v>1755</v>
      </c>
      <c r="W48" s="119">
        <f>Denmark!Y9</f>
        <v>2142</v>
      </c>
      <c r="X48" s="119">
        <f>Denmark!Z9</f>
        <v>3573</v>
      </c>
      <c r="Y48" s="119">
        <f>Denmark!AA9</f>
        <v>3850</v>
      </c>
      <c r="Z48" s="119">
        <f>Denmark!AB9</f>
        <v>2518</v>
      </c>
      <c r="AA48" s="119">
        <f>Denmark!AC9</f>
        <v>2463</v>
      </c>
      <c r="AB48" s="228">
        <f>Denmark!AD9</f>
        <v>0</v>
      </c>
      <c r="AC48" s="100">
        <f t="shared" si="5"/>
        <v>-0.34597402597402593</v>
      </c>
    </row>
    <row r="49" spans="1:29" x14ac:dyDescent="0.2">
      <c r="A49" s="49" t="s">
        <v>7</v>
      </c>
      <c r="B49" s="52">
        <v>1730</v>
      </c>
      <c r="C49" s="52">
        <v>1810</v>
      </c>
      <c r="D49" s="52">
        <v>1941</v>
      </c>
      <c r="E49" s="52">
        <v>1577</v>
      </c>
      <c r="F49" s="52">
        <v>1156</v>
      </c>
      <c r="G49" s="52">
        <v>1004</v>
      </c>
      <c r="H49" s="52">
        <f>France!J10</f>
        <v>833</v>
      </c>
      <c r="I49" s="52">
        <f>France!K10</f>
        <v>1150</v>
      </c>
      <c r="J49" s="52">
        <f>France!L10</f>
        <v>1609</v>
      </c>
      <c r="K49" s="67">
        <f>France!M10</f>
        <v>1420</v>
      </c>
      <c r="L49" s="52">
        <f>France!N10</f>
        <v>1914</v>
      </c>
      <c r="M49" s="52">
        <f>France!O10</f>
        <v>2352</v>
      </c>
      <c r="N49" s="52">
        <f>France!P10</f>
        <v>2237</v>
      </c>
      <c r="O49" s="67">
        <f>France!Q10</f>
        <v>1567</v>
      </c>
      <c r="P49" s="52">
        <f>France!R10</f>
        <v>1169</v>
      </c>
      <c r="Q49" s="119">
        <f>France!S10</f>
        <v>1881</v>
      </c>
      <c r="R49" s="119">
        <f>France!T10</f>
        <v>2791</v>
      </c>
      <c r="S49" s="119">
        <f>France!U10</f>
        <v>2746</v>
      </c>
      <c r="T49" s="119">
        <f>France!V10</f>
        <v>2649</v>
      </c>
      <c r="U49" s="119">
        <f>France!W10</f>
        <v>1945</v>
      </c>
      <c r="V49" s="119">
        <f>France!X10</f>
        <v>1874</v>
      </c>
      <c r="W49" s="119">
        <f>France!Y10</f>
        <v>1524</v>
      </c>
      <c r="X49" s="119">
        <f>France!Z10</f>
        <v>2295</v>
      </c>
      <c r="Y49" s="119">
        <f>France!AA10</f>
        <v>2873</v>
      </c>
      <c r="Z49" s="119">
        <f>France!AB10</f>
        <v>3170</v>
      </c>
      <c r="AA49" s="119">
        <f>France!AC10</f>
        <v>2364</v>
      </c>
      <c r="AB49" s="228">
        <f>France!AD10</f>
        <v>2136</v>
      </c>
      <c r="AC49" s="100">
        <f t="shared" si="5"/>
        <v>0.10337626174730241</v>
      </c>
    </row>
    <row r="50" spans="1:29" x14ac:dyDescent="0.2">
      <c r="A50" s="7" t="s">
        <v>125</v>
      </c>
      <c r="B50" s="6">
        <v>1582</v>
      </c>
      <c r="C50" s="6">
        <v>1344</v>
      </c>
      <c r="D50" s="6">
        <v>1388</v>
      </c>
      <c r="E50" s="6">
        <v>1687</v>
      </c>
      <c r="F50" s="6">
        <v>1633</v>
      </c>
      <c r="G50" s="6">
        <f>1500+112.2+77.5</f>
        <v>1689.7</v>
      </c>
      <c r="H50" s="6">
        <f>Sweden!J9</f>
        <v>1774.5</v>
      </c>
      <c r="I50" s="6">
        <f>Sweden!K9</f>
        <v>1334</v>
      </c>
      <c r="J50" s="6">
        <f>Sweden!L9</f>
        <v>1069</v>
      </c>
      <c r="K50" s="7">
        <f>Sweden!M9</f>
        <v>941</v>
      </c>
      <c r="L50" s="6">
        <f>Sweden!N9</f>
        <v>1372</v>
      </c>
      <c r="M50" s="6">
        <f>Sweden!O9</f>
        <v>1247</v>
      </c>
      <c r="N50" s="6">
        <f>Sweden!P9</f>
        <v>1450</v>
      </c>
      <c r="O50" s="25">
        <f>Sweden!Q9</f>
        <v>859</v>
      </c>
      <c r="P50" s="6">
        <f>Sweden!R9</f>
        <v>770</v>
      </c>
      <c r="Q50" s="119">
        <f>Sweden!S9</f>
        <v>688</v>
      </c>
      <c r="R50" s="119">
        <f>Sweden!T9</f>
        <v>439</v>
      </c>
      <c r="S50" s="119">
        <f>Sweden!U9</f>
        <v>462</v>
      </c>
      <c r="T50" s="119">
        <f>Sweden!V9</f>
        <v>262</v>
      </c>
      <c r="U50" s="119">
        <f>Sweden!W9</f>
        <v>132</v>
      </c>
      <c r="V50" s="119">
        <f>Sweden!X9</f>
        <v>202.7</v>
      </c>
      <c r="W50" s="119">
        <f>Sweden!Y9</f>
        <v>279</v>
      </c>
      <c r="X50" s="119">
        <f>Sweden!Z9</f>
        <v>441</v>
      </c>
      <c r="Y50" s="119">
        <f>Sweden!AA9</f>
        <v>459</v>
      </c>
      <c r="Z50" s="119">
        <f>Sweden!AB9</f>
        <v>423</v>
      </c>
      <c r="AA50" s="119">
        <f>Sweden!AC9</f>
        <v>345</v>
      </c>
      <c r="AB50" s="228">
        <f>Sweden!AD9</f>
        <v>0</v>
      </c>
      <c r="AC50" s="100">
        <f t="shared" si="5"/>
        <v>-7.8431372549019662E-2</v>
      </c>
    </row>
    <row r="51" spans="1:29" x14ac:dyDescent="0.2">
      <c r="A51" s="7" t="s">
        <v>127</v>
      </c>
      <c r="B51" s="6">
        <v>278</v>
      </c>
      <c r="C51" s="6">
        <v>415</v>
      </c>
      <c r="D51" s="6">
        <v>203</v>
      </c>
      <c r="E51" s="6">
        <v>889</v>
      </c>
      <c r="F51" s="6">
        <v>511</v>
      </c>
      <c r="G51" s="6">
        <v>589</v>
      </c>
      <c r="H51" s="6">
        <f>Finland!J9</f>
        <v>470</v>
      </c>
      <c r="I51" s="6">
        <f>Finland!K9</f>
        <v>663</v>
      </c>
      <c r="J51" s="5">
        <f>Finland!L9</f>
        <v>340</v>
      </c>
      <c r="K51" s="7">
        <f>Finland!M9</f>
        <v>500</v>
      </c>
      <c r="L51" s="6">
        <f>Finland!N9</f>
        <v>600</v>
      </c>
      <c r="M51" s="6">
        <f>Finland!O9</f>
        <v>560</v>
      </c>
      <c r="N51" s="6">
        <f>Finland!P9</f>
        <v>490</v>
      </c>
      <c r="O51" s="25">
        <f>Finland!Q9</f>
        <v>610</v>
      </c>
      <c r="P51" s="6">
        <f>Finland!R9</f>
        <v>428</v>
      </c>
      <c r="Q51" s="119">
        <f>Finland!S9</f>
        <v>385</v>
      </c>
      <c r="R51" s="119">
        <f>Finland!T9</f>
        <v>229.36</v>
      </c>
      <c r="S51" s="119">
        <f>Finland!U9</f>
        <v>470</v>
      </c>
      <c r="T51" s="119">
        <f>Finland!V9</f>
        <v>761</v>
      </c>
      <c r="U51" s="119">
        <f>Finland!W9</f>
        <v>423</v>
      </c>
      <c r="V51" s="119">
        <f>Finland!X9</f>
        <v>528</v>
      </c>
      <c r="W51" s="119">
        <f>Finland!Y9</f>
        <v>190</v>
      </c>
      <c r="X51" s="119">
        <f>Finland!Z9</f>
        <v>625</v>
      </c>
      <c r="Y51" s="119">
        <f>Finland!AA9</f>
        <v>364</v>
      </c>
      <c r="Z51" s="119">
        <f>Finland!AB9</f>
        <v>389</v>
      </c>
      <c r="AA51" s="119">
        <f>Finland!AC9</f>
        <v>293</v>
      </c>
      <c r="AB51" s="228">
        <f>Finland!AD9</f>
        <v>427</v>
      </c>
      <c r="AC51" s="100">
        <f t="shared" si="5"/>
        <v>6.8681318681318659E-2</v>
      </c>
    </row>
    <row r="52" spans="1:29" x14ac:dyDescent="0.2">
      <c r="A52" s="7" t="s">
        <v>126</v>
      </c>
      <c r="B52" s="6">
        <v>617</v>
      </c>
      <c r="C52" s="6">
        <v>641</v>
      </c>
      <c r="D52" s="6">
        <v>549</v>
      </c>
      <c r="E52" s="6">
        <v>359</v>
      </c>
      <c r="F52" s="6">
        <v>214</v>
      </c>
      <c r="G52" s="6">
        <v>242</v>
      </c>
      <c r="H52" s="6">
        <f>UK!J9</f>
        <v>248.6</v>
      </c>
      <c r="I52" s="6">
        <f>UK!K9</f>
        <v>250</v>
      </c>
      <c r="J52" s="63">
        <f>UK!L9</f>
        <v>163.19999999999999</v>
      </c>
      <c r="K52" s="25">
        <f>UK!M9</f>
        <v>159.9</v>
      </c>
      <c r="L52" s="25"/>
      <c r="M52" s="25"/>
      <c r="N52" s="25">
        <f>UK!P9</f>
        <v>15</v>
      </c>
      <c r="O52" s="25"/>
      <c r="P52" s="6">
        <f>UK!R9</f>
        <v>145.69999999999999</v>
      </c>
      <c r="Q52" s="119">
        <f>UK!S9</f>
        <v>145.69999999999999</v>
      </c>
      <c r="R52" s="119">
        <f>UK!T9</f>
        <v>180</v>
      </c>
      <c r="S52" s="119">
        <f>UK!U9</f>
        <v>243</v>
      </c>
      <c r="T52" s="119">
        <f>UK!V9</f>
        <v>337</v>
      </c>
      <c r="U52" s="119">
        <f>UK!W9</f>
        <v>456.7</v>
      </c>
      <c r="V52" s="119">
        <f>UK!X9</f>
        <v>629.1</v>
      </c>
      <c r="W52" s="119">
        <f>UK!Y9</f>
        <v>683.80000000000018</v>
      </c>
      <c r="X52" s="119">
        <f>UK!Z9</f>
        <v>762</v>
      </c>
      <c r="Y52" s="119">
        <f>UK!AA9</f>
        <v>956</v>
      </c>
      <c r="Z52" s="119">
        <f>UK!AB9</f>
        <v>1210.0999999999999</v>
      </c>
      <c r="AA52" s="119">
        <f>UK!AC9</f>
        <v>1291.7</v>
      </c>
      <c r="AB52" s="228">
        <f>UK!AD9</f>
        <v>1184.2</v>
      </c>
      <c r="AC52" s="100">
        <f t="shared" si="5"/>
        <v>0.26579497907949778</v>
      </c>
    </row>
    <row r="53" spans="1:29" x14ac:dyDescent="0.2">
      <c r="Z53" s="146"/>
      <c r="AC53" s="176"/>
    </row>
    <row r="54" spans="1:29" x14ac:dyDescent="0.2">
      <c r="Z54" s="146"/>
      <c r="AC54" s="176"/>
    </row>
    <row r="55" spans="1:29" ht="15.75" x14ac:dyDescent="0.25">
      <c r="A55" s="102" t="s">
        <v>133</v>
      </c>
      <c r="B55" s="44">
        <v>1997</v>
      </c>
      <c r="C55" s="44">
        <v>1998</v>
      </c>
      <c r="D55" s="44">
        <v>1999</v>
      </c>
      <c r="E55" s="44">
        <v>2000</v>
      </c>
      <c r="F55" s="44">
        <v>2001</v>
      </c>
      <c r="G55" s="44">
        <v>2002</v>
      </c>
      <c r="H55" s="109">
        <v>2003</v>
      </c>
      <c r="I55" s="109">
        <v>2004</v>
      </c>
      <c r="J55" s="109">
        <v>2005</v>
      </c>
      <c r="K55" s="110">
        <v>2006</v>
      </c>
      <c r="L55" s="109">
        <v>2007</v>
      </c>
      <c r="M55" s="111">
        <v>2008</v>
      </c>
      <c r="N55" s="109">
        <v>2009</v>
      </c>
      <c r="O55" s="109">
        <v>2010</v>
      </c>
      <c r="P55" s="111">
        <v>2011</v>
      </c>
      <c r="Q55" s="109">
        <v>2012</v>
      </c>
      <c r="R55" s="109">
        <v>2013</v>
      </c>
      <c r="S55" s="109">
        <v>2014</v>
      </c>
      <c r="T55" s="109">
        <v>2015</v>
      </c>
      <c r="U55" s="109">
        <v>2016</v>
      </c>
      <c r="V55" s="109">
        <v>2017</v>
      </c>
      <c r="W55" s="109">
        <v>2018</v>
      </c>
      <c r="X55" s="109">
        <v>2019</v>
      </c>
      <c r="Y55" s="109">
        <v>2020</v>
      </c>
      <c r="Z55" s="109">
        <v>2021</v>
      </c>
      <c r="AA55" s="109">
        <v>2022</v>
      </c>
      <c r="AB55" s="224" t="s">
        <v>119</v>
      </c>
      <c r="AC55" s="199" t="s">
        <v>120</v>
      </c>
    </row>
    <row r="56" spans="1:29" s="47" customFormat="1" x14ac:dyDescent="0.2">
      <c r="A56" s="49" t="s">
        <v>7</v>
      </c>
      <c r="B56" s="52">
        <v>4549</v>
      </c>
      <c r="C56" s="52">
        <v>4711</v>
      </c>
      <c r="D56" s="52">
        <v>3392</v>
      </c>
      <c r="E56" s="52">
        <v>2971</v>
      </c>
      <c r="F56" s="52">
        <v>2824</v>
      </c>
      <c r="G56" s="52">
        <v>3076</v>
      </c>
      <c r="H56" s="52">
        <f>France!J47</f>
        <v>3848</v>
      </c>
      <c r="I56" s="52">
        <f>France!K47</f>
        <v>4873</v>
      </c>
      <c r="J56" s="52">
        <f>France!L47</f>
        <v>3158</v>
      </c>
      <c r="K56" s="67">
        <f>France!M47</f>
        <v>3750</v>
      </c>
      <c r="L56" s="52">
        <f>France!N47</f>
        <v>4776</v>
      </c>
      <c r="M56" s="52">
        <f>France!O47</f>
        <v>4904</v>
      </c>
      <c r="N56" s="52">
        <f>France!P47</f>
        <v>3289</v>
      </c>
      <c r="O56" s="52">
        <f>France!Q47</f>
        <v>3041</v>
      </c>
      <c r="P56" s="52">
        <f>France!R47</f>
        <v>4272</v>
      </c>
      <c r="Q56" s="121">
        <f>France!S47</f>
        <v>4164</v>
      </c>
      <c r="R56" s="121">
        <f>France!T47</f>
        <v>4313</v>
      </c>
      <c r="S56" s="121">
        <f>France!U47</f>
        <v>4333</v>
      </c>
      <c r="T56" s="121">
        <f>France!V47</f>
        <v>4191</v>
      </c>
      <c r="U56" s="121">
        <f>France!W47</f>
        <v>5170</v>
      </c>
      <c r="V56" s="121">
        <f>France!X47</f>
        <v>6632</v>
      </c>
      <c r="W56" s="121">
        <f>France!Y47</f>
        <v>5923</v>
      </c>
      <c r="X56" s="121">
        <f>France!Z47</f>
        <v>5823</v>
      </c>
      <c r="Y56" s="121">
        <f>France!AA47</f>
        <v>5660</v>
      </c>
      <c r="Z56" s="121">
        <f>France!AB47</f>
        <v>6178.25</v>
      </c>
      <c r="AA56" s="121">
        <f>France!AC47</f>
        <v>5121</v>
      </c>
      <c r="AB56" s="227">
        <f>France!AD47</f>
        <v>2020</v>
      </c>
      <c r="AC56" s="100">
        <f>Z56/Y56-1</f>
        <v>9.1563604240282759E-2</v>
      </c>
    </row>
    <row r="57" spans="1:29" x14ac:dyDescent="0.2">
      <c r="A57" s="7" t="s">
        <v>134</v>
      </c>
      <c r="B57" s="6">
        <v>4323</v>
      </c>
      <c r="C57" s="6">
        <v>4606</v>
      </c>
      <c r="D57" s="6">
        <v>3826</v>
      </c>
      <c r="E57" s="6">
        <v>2951</v>
      </c>
      <c r="F57" s="6">
        <v>2532</v>
      </c>
      <c r="G57" s="6">
        <v>2228</v>
      </c>
      <c r="H57" s="6">
        <f>Italy!J46</f>
        <v>3678</v>
      </c>
      <c r="I57" s="6">
        <f>Italy!K46</f>
        <v>3542</v>
      </c>
      <c r="J57" s="5">
        <f>Italy!L46</f>
        <v>2623</v>
      </c>
      <c r="K57" s="25">
        <f>Italy!M46</f>
        <v>2885.3</v>
      </c>
      <c r="L57" s="6">
        <f>Italy!N46</f>
        <v>3766.37</v>
      </c>
      <c r="M57" s="6">
        <f>Italy!O46</f>
        <v>3925</v>
      </c>
      <c r="N57" s="6">
        <f>Italy!P46</f>
        <v>2247.59</v>
      </c>
      <c r="O57" s="6">
        <f>Italy!Q46</f>
        <v>2183</v>
      </c>
      <c r="P57" s="6">
        <f>Italy!R46</f>
        <v>4395</v>
      </c>
      <c r="Q57" s="119">
        <f>Italy!S46</f>
        <v>3790</v>
      </c>
      <c r="R57" s="119">
        <f>Italy!T46</f>
        <v>2859</v>
      </c>
      <c r="S57" s="119">
        <f>Italy!U46</f>
        <v>3483</v>
      </c>
      <c r="T57" s="119">
        <f>Italy!V46</f>
        <v>3149</v>
      </c>
      <c r="U57" s="119">
        <f>Italy!W46</f>
        <v>4020</v>
      </c>
      <c r="V57" s="119">
        <f>Italy!X46</f>
        <v>5559</v>
      </c>
      <c r="W57" s="119">
        <f>Italy!Y46</f>
        <v>5416</v>
      </c>
      <c r="X57" s="119">
        <f>Italy!Z46</f>
        <v>5422</v>
      </c>
      <c r="Y57" s="119">
        <f>Italy!AA46</f>
        <v>6386.2</v>
      </c>
      <c r="Z57" s="119">
        <f>Italy!AB46</f>
        <v>7025.91</v>
      </c>
      <c r="AA57" s="119">
        <f>Italy!AC46</f>
        <v>5888.7</v>
      </c>
      <c r="AB57" s="228">
        <f>Italy!AD46</f>
        <v>0</v>
      </c>
      <c r="AC57" s="100">
        <f>Z57/Y57-1</f>
        <v>0.10017068052989253</v>
      </c>
    </row>
    <row r="58" spans="1:29" x14ac:dyDescent="0.2">
      <c r="Z58" s="146"/>
      <c r="AC58" s="176"/>
    </row>
    <row r="59" spans="1:29" x14ac:dyDescent="0.2">
      <c r="Z59" s="146"/>
      <c r="AC59" s="176"/>
    </row>
    <row r="60" spans="1:29" ht="15.75" x14ac:dyDescent="0.25">
      <c r="A60" s="102" t="s">
        <v>135</v>
      </c>
      <c r="B60" s="44">
        <v>1997</v>
      </c>
      <c r="C60" s="44">
        <v>1998</v>
      </c>
      <c r="D60" s="44">
        <v>1999</v>
      </c>
      <c r="E60" s="44">
        <v>2000</v>
      </c>
      <c r="F60" s="44">
        <v>2001</v>
      </c>
      <c r="G60" s="44">
        <v>2002</v>
      </c>
      <c r="H60" s="109">
        <v>2003</v>
      </c>
      <c r="I60" s="109">
        <v>2004</v>
      </c>
      <c r="J60" s="109">
        <v>2005</v>
      </c>
      <c r="K60" s="110">
        <v>2006</v>
      </c>
      <c r="L60" s="109">
        <v>2007</v>
      </c>
      <c r="M60" s="111">
        <v>2008</v>
      </c>
      <c r="N60" s="109">
        <v>2009</v>
      </c>
      <c r="O60" s="109">
        <v>2010</v>
      </c>
      <c r="P60" s="111">
        <v>2011</v>
      </c>
      <c r="Q60" s="109">
        <v>2012</v>
      </c>
      <c r="R60" s="109">
        <v>2013</v>
      </c>
      <c r="S60" s="109">
        <v>2014</v>
      </c>
      <c r="T60" s="109">
        <v>2015</v>
      </c>
      <c r="U60" s="109">
        <v>2016</v>
      </c>
      <c r="V60" s="109">
        <v>2017</v>
      </c>
      <c r="W60" s="109">
        <v>2018</v>
      </c>
      <c r="X60" s="109">
        <v>2019</v>
      </c>
      <c r="Y60" s="109">
        <v>2020</v>
      </c>
      <c r="Z60" s="109">
        <v>2021</v>
      </c>
      <c r="AA60" s="109">
        <v>2022</v>
      </c>
      <c r="AB60" s="224" t="s">
        <v>119</v>
      </c>
      <c r="AC60" s="199" t="s">
        <v>136</v>
      </c>
    </row>
    <row r="61" spans="1:29" s="47" customFormat="1" x14ac:dyDescent="0.2">
      <c r="A61" s="49" t="s">
        <v>7</v>
      </c>
      <c r="B61" s="52">
        <v>10614</v>
      </c>
      <c r="C61" s="52">
        <v>11620</v>
      </c>
      <c r="D61" s="52">
        <v>12834</v>
      </c>
      <c r="E61" s="52">
        <v>12025</v>
      </c>
      <c r="F61" s="52">
        <v>11645</v>
      </c>
      <c r="G61" s="52">
        <v>11664</v>
      </c>
      <c r="H61" s="52">
        <f>France!J46</f>
        <v>13282</v>
      </c>
      <c r="I61" s="52">
        <f>France!K46</f>
        <v>14414</v>
      </c>
      <c r="J61" s="52">
        <f>France!L46</f>
        <v>15357</v>
      </c>
      <c r="K61" s="67">
        <f>France!M46</f>
        <v>16036</v>
      </c>
      <c r="L61" s="52">
        <f>France!N46</f>
        <v>14627</v>
      </c>
      <c r="M61" s="52">
        <f>France!O46</f>
        <v>12981</v>
      </c>
      <c r="N61" s="52">
        <f>France!P46</f>
        <v>16381</v>
      </c>
      <c r="O61" s="52">
        <f>France!Q46</f>
        <v>18479</v>
      </c>
      <c r="P61" s="52">
        <f>France!R46</f>
        <v>18370</v>
      </c>
      <c r="Q61" s="121">
        <f>France!S46</f>
        <v>18579</v>
      </c>
      <c r="R61" s="121">
        <f>France!T46</f>
        <v>19236</v>
      </c>
      <c r="S61" s="121">
        <f>France!U46</f>
        <v>20643</v>
      </c>
      <c r="T61" s="121">
        <f>France!V46</f>
        <v>22319</v>
      </c>
      <c r="U61" s="121">
        <f>France!W46</f>
        <v>24145</v>
      </c>
      <c r="V61" s="121">
        <f>France!X46</f>
        <v>24863</v>
      </c>
      <c r="W61" s="121">
        <f>France!Y46</f>
        <v>25854</v>
      </c>
      <c r="X61" s="121">
        <f>France!Z46</f>
        <v>23773</v>
      </c>
      <c r="Y61" s="121">
        <f>France!AA46</f>
        <v>23627</v>
      </c>
      <c r="Z61" s="121">
        <f>France!AB46</f>
        <v>24956</v>
      </c>
      <c r="AA61" s="121">
        <f>France!AC46</f>
        <v>24445</v>
      </c>
      <c r="AB61" s="227">
        <f>France!AD46</f>
        <v>15796</v>
      </c>
      <c r="AC61" s="100">
        <f>Z61/Y61-1</f>
        <v>5.6249206416387976E-2</v>
      </c>
    </row>
    <row r="62" spans="1:29" x14ac:dyDescent="0.2">
      <c r="A62" s="7" t="s">
        <v>124</v>
      </c>
      <c r="B62" s="6" t="s">
        <v>95</v>
      </c>
      <c r="C62" s="6">
        <v>7500</v>
      </c>
      <c r="D62" s="6">
        <v>10800</v>
      </c>
      <c r="E62" s="6">
        <v>10272</v>
      </c>
      <c r="F62" s="6">
        <v>10600</v>
      </c>
      <c r="G62" s="6">
        <v>11112</v>
      </c>
      <c r="H62" s="6">
        <f>Italy!J45</f>
        <v>10790</v>
      </c>
      <c r="I62" s="6">
        <f>Italy!K45</f>
        <v>10197</v>
      </c>
      <c r="J62" s="5">
        <f>Italy!L45</f>
        <v>11250</v>
      </c>
      <c r="K62" s="25">
        <f>Italy!M45</f>
        <v>8176</v>
      </c>
      <c r="L62" s="6">
        <f>Italy!N45</f>
        <v>10197</v>
      </c>
      <c r="M62" s="6">
        <f>Italy!O45</f>
        <v>14024</v>
      </c>
      <c r="N62" s="6">
        <f>Italy!P45</f>
        <v>13500</v>
      </c>
      <c r="O62" s="6">
        <f>Italy!Q45</f>
        <v>19374</v>
      </c>
      <c r="P62" s="6">
        <f>Italy!R45</f>
        <v>19479</v>
      </c>
      <c r="Q62" s="119">
        <f>Italy!S45</f>
        <v>18872</v>
      </c>
      <c r="R62" s="119">
        <f>Italy!T45</f>
        <v>19500</v>
      </c>
      <c r="S62" s="119">
        <f>Italy!U45</f>
        <v>26000</v>
      </c>
      <c r="T62" s="119">
        <f>Italy!V45</f>
        <v>32950</v>
      </c>
      <c r="U62" s="119">
        <f>Italy!W45</f>
        <v>37700</v>
      </c>
      <c r="V62" s="119">
        <f>Italy!X45</f>
        <v>20683</v>
      </c>
      <c r="W62" s="119">
        <f>Italy!Y45</f>
        <v>19362</v>
      </c>
      <c r="X62" s="119">
        <f>Italy!Z45</f>
        <v>21236</v>
      </c>
      <c r="Y62" s="119">
        <f>Italy!AA45</f>
        <v>33391</v>
      </c>
      <c r="Z62" s="119">
        <f>Italy!AB45</f>
        <v>30000</v>
      </c>
      <c r="AA62" s="119">
        <f>Italy!AC45</f>
        <v>36000</v>
      </c>
      <c r="AB62" s="228">
        <f>Italy!AD45</f>
        <v>0</v>
      </c>
      <c r="AC62" s="100">
        <f t="shared" ref="AC62:AC63" si="6">Z62/Y62-1</f>
        <v>-0.10155431104189749</v>
      </c>
    </row>
    <row r="63" spans="1:29" s="23" customFormat="1" x14ac:dyDescent="0.2">
      <c r="A63" s="25" t="s">
        <v>123</v>
      </c>
      <c r="B63" s="6">
        <v>3456</v>
      </c>
      <c r="C63" s="6">
        <v>3336</v>
      </c>
      <c r="D63" s="6">
        <v>4210</v>
      </c>
      <c r="E63" s="6">
        <v>4391</v>
      </c>
      <c r="F63" s="6">
        <v>4430</v>
      </c>
      <c r="G63" s="6">
        <v>4192</v>
      </c>
      <c r="H63" s="6">
        <f>Denmark!J44</f>
        <v>4776</v>
      </c>
      <c r="I63" s="6">
        <f>Denmark!K44</f>
        <v>4835</v>
      </c>
      <c r="J63" s="6">
        <f>Denmark!L44</f>
        <v>5475</v>
      </c>
      <c r="K63" s="25">
        <f>Denmark!M44</f>
        <v>6569</v>
      </c>
      <c r="L63" s="6">
        <f>Denmark!N44</f>
        <v>6875</v>
      </c>
      <c r="M63" s="6">
        <f>Denmark!O44</f>
        <v>6490</v>
      </c>
      <c r="N63" s="6">
        <f>Denmark!P44</f>
        <v>6552</v>
      </c>
      <c r="O63" s="6">
        <f>Denmark!Q44</f>
        <v>4406</v>
      </c>
      <c r="P63" s="6">
        <f>Denmark!R44</f>
        <v>5741</v>
      </c>
      <c r="Q63" s="119">
        <f>Denmark!S44</f>
        <v>5900</v>
      </c>
      <c r="R63" s="119">
        <f>Denmark!T44</f>
        <v>6950</v>
      </c>
      <c r="S63" s="119">
        <f>Denmark!U44</f>
        <v>6657</v>
      </c>
      <c r="T63" s="119">
        <f>Denmark!V44</f>
        <v>5650</v>
      </c>
      <c r="U63" s="119">
        <f>Denmark!W44</f>
        <v>7173</v>
      </c>
      <c r="V63" s="119">
        <f>Denmark!X44</f>
        <v>10142</v>
      </c>
      <c r="W63" s="119">
        <f>Denmark!Y44</f>
        <v>11792</v>
      </c>
      <c r="X63" s="119">
        <f>Denmark!Z44</f>
        <v>12929</v>
      </c>
      <c r="Y63" s="119">
        <f>Denmark!AA44</f>
        <v>6572</v>
      </c>
      <c r="Z63" s="119">
        <f>Denmark!AB44</f>
        <v>6469</v>
      </c>
      <c r="AA63" s="119">
        <f>Denmark!AC44</f>
        <v>9010</v>
      </c>
      <c r="AB63" s="228">
        <f>Denmark!AD44</f>
        <v>0</v>
      </c>
      <c r="AC63" s="100">
        <f t="shared" si="6"/>
        <v>-1.5672550213024938E-2</v>
      </c>
    </row>
    <row r="64" spans="1:29" x14ac:dyDescent="0.2">
      <c r="Z64" s="146"/>
      <c r="AC64" s="176"/>
    </row>
    <row r="65" spans="1:29" x14ac:dyDescent="0.2">
      <c r="Z65" s="146"/>
      <c r="AC65" s="176"/>
    </row>
    <row r="66" spans="1:29" ht="15.75" x14ac:dyDescent="0.25">
      <c r="A66" s="153" t="s">
        <v>137</v>
      </c>
      <c r="B66" s="44">
        <v>1997</v>
      </c>
      <c r="C66" s="44">
        <v>1998</v>
      </c>
      <c r="D66" s="44">
        <v>1999</v>
      </c>
      <c r="E66" s="44">
        <v>2000</v>
      </c>
      <c r="F66" s="44">
        <v>2001</v>
      </c>
      <c r="G66" s="44">
        <v>2002</v>
      </c>
      <c r="H66" s="109">
        <v>2003</v>
      </c>
      <c r="I66" s="109">
        <v>2004</v>
      </c>
      <c r="J66" s="109">
        <v>2005</v>
      </c>
      <c r="K66" s="110">
        <v>2006</v>
      </c>
      <c r="L66" s="109">
        <v>2007</v>
      </c>
      <c r="M66" s="111">
        <v>2008</v>
      </c>
      <c r="N66" s="109">
        <v>2009</v>
      </c>
      <c r="O66" s="109">
        <v>2010</v>
      </c>
      <c r="P66" s="111">
        <v>2011</v>
      </c>
      <c r="Q66" s="109">
        <v>2012</v>
      </c>
      <c r="R66" s="109">
        <v>2013</v>
      </c>
      <c r="S66" s="109">
        <v>2014</v>
      </c>
      <c r="T66" s="109">
        <v>2015</v>
      </c>
      <c r="U66" s="109">
        <v>2016</v>
      </c>
      <c r="V66" s="109">
        <v>2017</v>
      </c>
      <c r="W66" s="109">
        <v>2018</v>
      </c>
      <c r="X66" s="109">
        <v>2019</v>
      </c>
      <c r="Y66" s="109">
        <v>2020</v>
      </c>
      <c r="Z66" s="109">
        <v>2021</v>
      </c>
      <c r="AA66" s="109">
        <v>2022</v>
      </c>
      <c r="AB66" s="224" t="s">
        <v>119</v>
      </c>
      <c r="AC66" s="199" t="s">
        <v>120</v>
      </c>
    </row>
    <row r="67" spans="1:29" x14ac:dyDescent="0.2">
      <c r="A67" s="25" t="s">
        <v>122</v>
      </c>
      <c r="B67" s="119">
        <v>303</v>
      </c>
      <c r="C67" s="119">
        <v>260</v>
      </c>
      <c r="D67" s="119">
        <v>144</v>
      </c>
      <c r="E67" s="119">
        <v>121</v>
      </c>
      <c r="F67" s="119">
        <v>109</v>
      </c>
      <c r="G67" s="119">
        <v>121</v>
      </c>
      <c r="H67" s="119">
        <f>Germany!J18</f>
        <v>134</v>
      </c>
      <c r="I67" s="58">
        <f>Germany!K18</f>
        <v>177</v>
      </c>
      <c r="J67" s="6">
        <f>Germany!L18</f>
        <v>248</v>
      </c>
      <c r="K67" s="120">
        <f>Germany!M18</f>
        <v>353</v>
      </c>
      <c r="L67" s="119">
        <f>Germany!N18</f>
        <v>576</v>
      </c>
      <c r="M67" s="119">
        <f>Germany!O18</f>
        <v>570</v>
      </c>
      <c r="N67" s="119">
        <f>Germany!P18</f>
        <v>339</v>
      </c>
      <c r="O67" s="119">
        <f>Germany!Q18</f>
        <v>382</v>
      </c>
      <c r="P67" s="119">
        <f>Germany!R18</f>
        <v>214</v>
      </c>
      <c r="Q67" s="119">
        <f>Germany!S18</f>
        <v>130</v>
      </c>
      <c r="R67" s="119">
        <f>Germany!T18</f>
        <v>170</v>
      </c>
      <c r="S67" s="119">
        <f>Germany!U18</f>
        <v>138</v>
      </c>
      <c r="T67" s="119">
        <f>Germany!V18</f>
        <v>148</v>
      </c>
      <c r="U67" s="119">
        <f>Germany!W18</f>
        <v>179</v>
      </c>
      <c r="V67" s="119">
        <f>Germany!X18</f>
        <v>222</v>
      </c>
      <c r="W67" s="119">
        <f>Germany!Y18</f>
        <v>211</v>
      </c>
      <c r="X67" s="119">
        <f>Germany!Z18</f>
        <v>208</v>
      </c>
      <c r="Y67" s="119">
        <f>Germany!AA18</f>
        <v>202</v>
      </c>
      <c r="Z67" s="119">
        <f>Germany!AB18</f>
        <v>223</v>
      </c>
      <c r="AA67" s="119">
        <f>Germany!AC18</f>
        <v>0</v>
      </c>
      <c r="AB67" s="228">
        <f>Germany!AD18</f>
        <v>0</v>
      </c>
      <c r="AC67" s="100">
        <f>Z67/Y67-1</f>
        <v>0.10396039603960405</v>
      </c>
    </row>
    <row r="68" spans="1:29" x14ac:dyDescent="0.2">
      <c r="A68" s="25" t="s">
        <v>123</v>
      </c>
      <c r="B68" s="6">
        <v>2448</v>
      </c>
      <c r="C68" s="6">
        <v>2494</v>
      </c>
      <c r="D68" s="6">
        <v>2658</v>
      </c>
      <c r="E68" s="6">
        <v>3020</v>
      </c>
      <c r="F68" s="6">
        <v>2923</v>
      </c>
      <c r="G68" s="6">
        <v>3619</v>
      </c>
      <c r="H68" s="6">
        <f>Denmark!J17</f>
        <v>3769</v>
      </c>
      <c r="I68" s="6">
        <f>Denmark!K17</f>
        <v>3491</v>
      </c>
      <c r="J68" s="6">
        <f>Denmark!L17</f>
        <v>2662</v>
      </c>
      <c r="K68" s="25">
        <f>Denmark!M17</f>
        <v>2116</v>
      </c>
      <c r="L68" s="6">
        <f>Denmark!N17</f>
        <v>3255</v>
      </c>
      <c r="M68" s="6">
        <f>Denmark!O17</f>
        <v>4563</v>
      </c>
      <c r="N68" s="6">
        <f>Denmark!P17</f>
        <v>5312</v>
      </c>
      <c r="O68" s="6">
        <f>Denmark!Q17</f>
        <v>2645</v>
      </c>
      <c r="P68" s="6">
        <f>Denmark!R17</f>
        <v>1207</v>
      </c>
      <c r="Q68" s="119">
        <f>Denmark!S17</f>
        <v>953</v>
      </c>
      <c r="R68" s="119">
        <f>Denmark!T17</f>
        <v>1408</v>
      </c>
      <c r="S68" s="119">
        <f>Denmark!U17</f>
        <v>2098</v>
      </c>
      <c r="T68" s="119">
        <f>Denmark!V17</f>
        <v>2815</v>
      </c>
      <c r="U68" s="119">
        <f>Denmark!W17</f>
        <v>4262</v>
      </c>
      <c r="V68" s="119">
        <f>Denmark!X17</f>
        <v>4898</v>
      </c>
      <c r="W68" s="119">
        <f>Denmark!Y17</f>
        <v>5288</v>
      </c>
      <c r="X68" s="119">
        <f>Denmark!Z17</f>
        <v>5628</v>
      </c>
      <c r="Y68" s="119">
        <f>Denmark!AA17</f>
        <v>4662</v>
      </c>
      <c r="Z68" s="119">
        <f>Denmark!AB17</f>
        <v>3221</v>
      </c>
      <c r="AA68" s="119">
        <f>Denmark!AC17</f>
        <v>3476</v>
      </c>
      <c r="AB68" s="228">
        <f>Denmark!AD17</f>
        <v>0</v>
      </c>
      <c r="AC68" s="100">
        <f t="shared" ref="AC68:AC72" si="7">Z68/Y68-1</f>
        <v>-0.30909480909480913</v>
      </c>
    </row>
    <row r="69" spans="1:29" x14ac:dyDescent="0.2">
      <c r="A69" s="49" t="s">
        <v>7</v>
      </c>
      <c r="B69" s="52">
        <v>1920</v>
      </c>
      <c r="C69" s="52">
        <v>2264</v>
      </c>
      <c r="D69" s="52">
        <v>2935</v>
      </c>
      <c r="E69" s="52">
        <v>3495</v>
      </c>
      <c r="F69" s="52">
        <v>3365</v>
      </c>
      <c r="G69" s="52">
        <v>2462</v>
      </c>
      <c r="H69" s="52">
        <f>France!J18</f>
        <v>1921</v>
      </c>
      <c r="I69" s="52">
        <f>France!K18</f>
        <v>2158</v>
      </c>
      <c r="J69" s="52">
        <f>France!L18</f>
        <v>2875</v>
      </c>
      <c r="K69" s="67">
        <f>France!M18</f>
        <v>3240</v>
      </c>
      <c r="L69" s="52">
        <f>France!N18</f>
        <v>3720</v>
      </c>
      <c r="M69" s="52">
        <f>France!O18</f>
        <v>3929</v>
      </c>
      <c r="N69" s="52">
        <f>France!P18</f>
        <v>3691</v>
      </c>
      <c r="O69" s="52">
        <f>France!Q18</f>
        <v>1335</v>
      </c>
      <c r="P69" s="52">
        <f>France!R18</f>
        <v>1099</v>
      </c>
      <c r="Q69" s="121">
        <f>France!S18</f>
        <v>1699</v>
      </c>
      <c r="R69" s="121">
        <f>France!T18</f>
        <v>2027</v>
      </c>
      <c r="S69" s="121">
        <f>France!U18</f>
        <v>2052</v>
      </c>
      <c r="T69" s="121">
        <f>France!V18</f>
        <v>1641</v>
      </c>
      <c r="U69" s="121">
        <f>France!W18</f>
        <v>1745</v>
      </c>
      <c r="V69" s="121">
        <f>France!X18</f>
        <v>1883</v>
      </c>
      <c r="W69" s="121">
        <f>France!Y18</f>
        <v>2083</v>
      </c>
      <c r="X69" s="121">
        <f>France!Z18</f>
        <v>2531</v>
      </c>
      <c r="Y69" s="121">
        <f>France!AA18</f>
        <v>2702</v>
      </c>
      <c r="Z69" s="121">
        <f>France!AB18</f>
        <v>2811</v>
      </c>
      <c r="AA69" s="121">
        <f>France!AC18</f>
        <v>2838</v>
      </c>
      <c r="AB69" s="227">
        <f>France!AD18</f>
        <v>2272</v>
      </c>
      <c r="AC69" s="100">
        <f t="shared" si="7"/>
        <v>4.0340488527017104E-2</v>
      </c>
    </row>
    <row r="70" spans="1:29" x14ac:dyDescent="0.2">
      <c r="A70" s="280" t="s">
        <v>124</v>
      </c>
      <c r="B70" s="119">
        <v>115</v>
      </c>
      <c r="C70" s="119">
        <v>112</v>
      </c>
      <c r="D70" s="119">
        <v>93</v>
      </c>
      <c r="E70" s="119">
        <v>22</v>
      </c>
      <c r="F70" s="119">
        <v>8</v>
      </c>
      <c r="G70" s="119">
        <v>34</v>
      </c>
      <c r="H70" s="119">
        <f>Italy!J17</f>
        <v>28.97</v>
      </c>
      <c r="I70" s="119">
        <f>Italy!K17</f>
        <v>27</v>
      </c>
      <c r="J70" s="123">
        <f>Italy!L17</f>
        <v>49</v>
      </c>
      <c r="K70" s="285">
        <f>Italy!M17</f>
        <v>53.900000000000006</v>
      </c>
      <c r="L70" s="124">
        <f>Italy!N17</f>
        <v>37.049999999999997</v>
      </c>
      <c r="M70" s="124">
        <f>Italy!O17</f>
        <v>20</v>
      </c>
      <c r="N70" s="124">
        <f>Italy!P17</f>
        <v>1.01</v>
      </c>
      <c r="O70" s="124"/>
      <c r="P70" s="124">
        <f>Italy!R17</f>
        <v>10</v>
      </c>
      <c r="Q70" s="124">
        <f>Italy!S17</f>
        <v>0</v>
      </c>
      <c r="R70" s="124">
        <f>Italy!T17</f>
        <v>0</v>
      </c>
      <c r="S70" s="124">
        <f>Italy!U17</f>
        <v>0</v>
      </c>
      <c r="T70" s="124">
        <f>Italy!V17</f>
        <v>0</v>
      </c>
      <c r="U70" s="124">
        <f>Italy!W17</f>
        <v>0</v>
      </c>
      <c r="V70" s="124">
        <f>Italy!X17</f>
        <v>0</v>
      </c>
      <c r="W70" s="124">
        <f>Italy!Y17</f>
        <v>0</v>
      </c>
      <c r="X70" s="124">
        <f>Italy!Z17</f>
        <v>1</v>
      </c>
      <c r="Y70" s="124">
        <f>Italy!AA17</f>
        <v>1</v>
      </c>
      <c r="Z70" s="124">
        <f>Italy!AB17</f>
        <v>17.2</v>
      </c>
      <c r="AA70" s="124">
        <f>Italy!AC17</f>
        <v>13.16</v>
      </c>
      <c r="AB70" s="229">
        <f>Italy!AD17</f>
        <v>0</v>
      </c>
      <c r="AC70" s="100">
        <f t="shared" si="7"/>
        <v>16.2</v>
      </c>
    </row>
    <row r="71" spans="1:29" x14ac:dyDescent="0.2">
      <c r="A71" s="7" t="s">
        <v>125</v>
      </c>
      <c r="B71" s="6">
        <v>110</v>
      </c>
      <c r="C71" s="6">
        <v>140</v>
      </c>
      <c r="D71" s="6">
        <v>113</v>
      </c>
      <c r="E71" s="6">
        <v>117</v>
      </c>
      <c r="F71" s="6">
        <v>87</v>
      </c>
      <c r="G71" s="6">
        <v>118</v>
      </c>
      <c r="H71" s="6">
        <f>Sweden!J17</f>
        <v>116</v>
      </c>
      <c r="I71" s="6">
        <f>Sweden!K17</f>
        <v>118</v>
      </c>
      <c r="J71" s="5">
        <f>Sweden!L17</f>
        <v>104</v>
      </c>
      <c r="K71" s="25">
        <f>Sweden!M17</f>
        <v>57</v>
      </c>
      <c r="L71" s="6">
        <f>Sweden!N17</f>
        <v>35</v>
      </c>
      <c r="M71" s="6">
        <f>Sweden!O17</f>
        <v>131</v>
      </c>
      <c r="N71" s="6">
        <f>Sweden!P17</f>
        <v>166</v>
      </c>
      <c r="O71" s="6">
        <f>Sweden!Q17</f>
        <v>183</v>
      </c>
      <c r="P71" s="6">
        <f>Sweden!R17</f>
        <v>118</v>
      </c>
      <c r="Q71" s="119">
        <f>Sweden!S17</f>
        <v>148</v>
      </c>
      <c r="R71" s="119">
        <f>Sweden!T17</f>
        <v>159</v>
      </c>
      <c r="S71" s="119">
        <f>Sweden!U17</f>
        <v>135</v>
      </c>
      <c r="T71" s="119">
        <f>Sweden!V17</f>
        <v>127</v>
      </c>
      <c r="U71" s="119">
        <f>Sweden!W17</f>
        <v>235.8</v>
      </c>
      <c r="V71" s="119">
        <f>Sweden!X17</f>
        <v>333.4</v>
      </c>
      <c r="W71" s="119">
        <f>Sweden!Y17</f>
        <v>410</v>
      </c>
      <c r="X71" s="119">
        <f>Sweden!Z17</f>
        <v>832</v>
      </c>
      <c r="Y71" s="119">
        <f>Sweden!AA17</f>
        <v>1108</v>
      </c>
      <c r="Z71" s="119">
        <f>Sweden!AB17</f>
        <v>850</v>
      </c>
      <c r="AA71" s="119">
        <f>Sweden!AC17</f>
        <v>571</v>
      </c>
      <c r="AB71" s="228">
        <f>Sweden!AD17</f>
        <v>133</v>
      </c>
      <c r="AC71" s="100">
        <f t="shared" si="7"/>
        <v>-0.23285198555956677</v>
      </c>
    </row>
    <row r="72" spans="1:29" x14ac:dyDescent="0.2">
      <c r="A72" s="7" t="s">
        <v>126</v>
      </c>
      <c r="B72" s="6">
        <v>138</v>
      </c>
      <c r="C72" s="6">
        <v>132</v>
      </c>
      <c r="D72" s="6">
        <v>127</v>
      </c>
      <c r="E72" s="6">
        <v>141</v>
      </c>
      <c r="F72" s="6">
        <v>152</v>
      </c>
      <c r="G72" s="6">
        <v>163</v>
      </c>
      <c r="H72" s="6">
        <f>UK!J17</f>
        <v>139</v>
      </c>
      <c r="I72" s="6">
        <f>UK!K17</f>
        <v>155</v>
      </c>
      <c r="J72" s="63">
        <f>UK!L17</f>
        <v>211.8</v>
      </c>
      <c r="K72" s="25">
        <f>UK!M17</f>
        <v>272</v>
      </c>
      <c r="L72" s="6">
        <f>UK!N17</f>
        <v>329</v>
      </c>
      <c r="M72" s="6">
        <f>UK!O17</f>
        <v>300.2</v>
      </c>
      <c r="N72" s="6">
        <f>UK!P17</f>
        <v>279</v>
      </c>
      <c r="O72" s="6">
        <f>UK!Q17</f>
        <v>184</v>
      </c>
      <c r="P72" s="6">
        <f>UK!R17</f>
        <v>120</v>
      </c>
      <c r="Q72" s="119">
        <f>UK!S17</f>
        <v>100</v>
      </c>
      <c r="R72" s="119">
        <f>UK!T17</f>
        <v>90</v>
      </c>
      <c r="S72" s="119">
        <f>UK!U17</f>
        <v>30.4</v>
      </c>
      <c r="T72" s="119">
        <f>UK!V17</f>
        <v>40.6</v>
      </c>
      <c r="U72" s="119">
        <f>UK!W17</f>
        <v>42.3</v>
      </c>
      <c r="V72" s="119">
        <f>UK!X17</f>
        <v>97.5</v>
      </c>
      <c r="W72" s="119">
        <f>UK!Y17</f>
        <v>55.2</v>
      </c>
      <c r="X72" s="119">
        <f>UK!Z17</f>
        <v>0</v>
      </c>
      <c r="Y72" s="119">
        <f>UK!AA17</f>
        <v>0</v>
      </c>
      <c r="Z72" s="119">
        <f>UK!AB17</f>
        <v>0</v>
      </c>
      <c r="AA72" s="119">
        <f>UK!AC17</f>
        <v>0</v>
      </c>
      <c r="AB72" s="228">
        <f>UK!AD17</f>
        <v>0</v>
      </c>
      <c r="AC72" s="100" t="e">
        <f t="shared" si="7"/>
        <v>#DIV/0!</v>
      </c>
    </row>
    <row r="73" spans="1:29" x14ac:dyDescent="0.2">
      <c r="B73" s="23"/>
      <c r="C73" s="23"/>
      <c r="D73" s="23"/>
      <c r="E73" s="23"/>
      <c r="F73" s="23"/>
      <c r="G73" s="23"/>
      <c r="H73" s="23"/>
      <c r="I73" s="23"/>
      <c r="J73" s="64"/>
      <c r="K73" s="23"/>
      <c r="L73" s="23"/>
      <c r="M73" s="23"/>
      <c r="N73" s="23"/>
      <c r="O73" s="23"/>
      <c r="P73" s="23"/>
      <c r="Q73" s="150"/>
      <c r="R73" s="142"/>
      <c r="S73" s="150"/>
      <c r="T73" s="178"/>
      <c r="U73" s="178"/>
      <c r="V73" s="178"/>
      <c r="W73" s="178"/>
      <c r="X73" s="178"/>
      <c r="Y73" s="150"/>
      <c r="Z73" s="150"/>
      <c r="AA73" s="150"/>
      <c r="AB73" s="178"/>
      <c r="AC73" s="178"/>
    </row>
    <row r="74" spans="1:29" x14ac:dyDescent="0.2">
      <c r="B74" s="23"/>
      <c r="C74" s="23"/>
      <c r="D74" s="23"/>
      <c r="E74" s="23"/>
      <c r="F74" s="23"/>
      <c r="G74" s="23"/>
      <c r="H74" s="23"/>
      <c r="I74" s="23"/>
      <c r="J74" s="64"/>
      <c r="K74" s="23"/>
      <c r="L74" s="23"/>
      <c r="M74" s="23"/>
      <c r="N74" s="23"/>
      <c r="O74" s="23"/>
      <c r="P74" s="23"/>
      <c r="Q74" s="150"/>
      <c r="R74" s="142"/>
      <c r="S74" s="150"/>
      <c r="T74" s="178"/>
      <c r="U74" s="178"/>
      <c r="V74" s="178"/>
      <c r="W74" s="178"/>
      <c r="X74" s="178"/>
      <c r="Y74" s="150"/>
      <c r="Z74" s="150"/>
      <c r="AA74" s="150"/>
      <c r="AB74" s="178"/>
      <c r="AC74" s="178"/>
    </row>
    <row r="75" spans="1:29" x14ac:dyDescent="0.2">
      <c r="Z75" s="146"/>
      <c r="AC75" s="176"/>
    </row>
    <row r="76" spans="1:29" ht="15.75" x14ac:dyDescent="0.25">
      <c r="A76" s="102" t="s">
        <v>26</v>
      </c>
      <c r="B76" s="44">
        <v>1997</v>
      </c>
      <c r="C76" s="44">
        <v>1998</v>
      </c>
      <c r="D76" s="44">
        <v>1999</v>
      </c>
      <c r="E76" s="44">
        <v>2000</v>
      </c>
      <c r="F76" s="44">
        <v>2001</v>
      </c>
      <c r="G76" s="44">
        <v>2002</v>
      </c>
      <c r="H76" s="109">
        <v>2003</v>
      </c>
      <c r="I76" s="109">
        <v>2004</v>
      </c>
      <c r="J76" s="109">
        <v>2005</v>
      </c>
      <c r="K76" s="110">
        <v>2006</v>
      </c>
      <c r="L76" s="109">
        <v>2007</v>
      </c>
      <c r="M76" s="111">
        <v>2008</v>
      </c>
      <c r="N76" s="109">
        <v>2009</v>
      </c>
      <c r="O76" s="109">
        <v>2010</v>
      </c>
      <c r="P76" s="111">
        <v>2011</v>
      </c>
      <c r="Q76" s="109">
        <v>2012</v>
      </c>
      <c r="R76" s="109">
        <v>2013</v>
      </c>
      <c r="S76" s="109">
        <v>2014</v>
      </c>
      <c r="T76" s="109">
        <v>2015</v>
      </c>
      <c r="U76" s="109">
        <v>2016</v>
      </c>
      <c r="V76" s="109">
        <v>2017</v>
      </c>
      <c r="W76" s="109">
        <v>2018</v>
      </c>
      <c r="X76" s="109">
        <v>2019</v>
      </c>
      <c r="Y76" s="109">
        <v>2020</v>
      </c>
      <c r="Z76" s="109">
        <v>2021</v>
      </c>
      <c r="AA76" s="109">
        <v>2022</v>
      </c>
      <c r="AB76" s="224" t="s">
        <v>119</v>
      </c>
      <c r="AC76" s="199" t="s">
        <v>120</v>
      </c>
    </row>
    <row r="77" spans="1:29" x14ac:dyDescent="0.2">
      <c r="A77" s="25" t="s">
        <v>122</v>
      </c>
      <c r="B77" s="6">
        <v>2158</v>
      </c>
      <c r="C77" s="6">
        <v>2117</v>
      </c>
      <c r="D77" s="6">
        <v>2145</v>
      </c>
      <c r="E77" s="6">
        <v>2752</v>
      </c>
      <c r="F77" s="6">
        <v>2937</v>
      </c>
      <c r="G77" s="6">
        <v>2888</v>
      </c>
      <c r="H77" s="6">
        <f>Germany!J19</f>
        <v>2909</v>
      </c>
      <c r="I77" s="58">
        <f>Germany!K19</f>
        <v>2914</v>
      </c>
      <c r="J77" s="6">
        <f>Germany!L19</f>
        <v>2567</v>
      </c>
      <c r="K77" s="25">
        <f>Germany!M19</f>
        <v>2380</v>
      </c>
      <c r="L77" s="6">
        <f>Germany!N19</f>
        <v>1918</v>
      </c>
      <c r="M77" s="6">
        <f>Germany!O19</f>
        <v>1478</v>
      </c>
      <c r="N77" s="6">
        <f>Germany!P19</f>
        <v>1169</v>
      </c>
      <c r="O77" s="6">
        <f>Germany!Q19</f>
        <v>1034</v>
      </c>
      <c r="P77" s="6">
        <f>Germany!R19</f>
        <v>938</v>
      </c>
      <c r="Q77" s="119">
        <f>Germany!S19</f>
        <v>954</v>
      </c>
      <c r="R77" s="119">
        <f>Germany!T19</f>
        <v>1099</v>
      </c>
      <c r="S77" s="119">
        <f>Germany!U19</f>
        <v>1004</v>
      </c>
      <c r="T77" s="119">
        <f>Germany!V19</f>
        <v>894</v>
      </c>
      <c r="U77" s="119">
        <f>Germany!W19</f>
        <v>900</v>
      </c>
      <c r="V77" s="119">
        <f>Germany!X19</f>
        <v>980</v>
      </c>
      <c r="W77" s="119">
        <f>Germany!Y19</f>
        <v>654</v>
      </c>
      <c r="X77" s="119">
        <f>Germany!Z19</f>
        <v>699</v>
      </c>
      <c r="Y77" s="119">
        <f>Germany!AA19</f>
        <v>552</v>
      </c>
      <c r="Z77" s="119">
        <f>Germany!AB19</f>
        <v>861</v>
      </c>
      <c r="AA77" s="119">
        <f>Germany!AC19</f>
        <v>920</v>
      </c>
      <c r="AB77" s="228">
        <f>Germany!AD19</f>
        <v>0</v>
      </c>
      <c r="AC77" s="100">
        <f>Z77/Y77-1</f>
        <v>0.55978260869565211</v>
      </c>
    </row>
    <row r="78" spans="1:29" x14ac:dyDescent="0.2">
      <c r="A78" s="25" t="s">
        <v>123</v>
      </c>
      <c r="B78" s="6">
        <v>475</v>
      </c>
      <c r="C78" s="6">
        <v>293</v>
      </c>
      <c r="D78" s="6">
        <v>318</v>
      </c>
      <c r="E78" s="6">
        <v>552</v>
      </c>
      <c r="F78" s="6">
        <v>655</v>
      </c>
      <c r="G78" s="6">
        <v>895</v>
      </c>
      <c r="H78" s="6">
        <f>Denmark!J18</f>
        <v>889</v>
      </c>
      <c r="I78" s="6">
        <f>Denmark!K18</f>
        <v>859</v>
      </c>
      <c r="J78" s="6">
        <f>Denmark!L18</f>
        <v>740</v>
      </c>
      <c r="K78" s="25">
        <f>Denmark!M18</f>
        <v>648</v>
      </c>
      <c r="L78" s="6">
        <f>Denmark!N18</f>
        <v>449</v>
      </c>
      <c r="M78" s="6">
        <f>Denmark!O18</f>
        <v>350</v>
      </c>
      <c r="N78" s="6">
        <f>Denmark!P18</f>
        <v>253</v>
      </c>
      <c r="O78" s="6">
        <f>Denmark!Q18</f>
        <v>212</v>
      </c>
      <c r="P78" s="6">
        <f>Denmark!R18</f>
        <v>327</v>
      </c>
      <c r="Q78" s="119">
        <f>Denmark!S18</f>
        <v>374</v>
      </c>
      <c r="R78" s="119">
        <f>Denmark!T18</f>
        <v>254</v>
      </c>
      <c r="S78" s="119">
        <f>Denmark!U18</f>
        <v>336</v>
      </c>
      <c r="T78" s="119">
        <f>Denmark!V18</f>
        <v>541</v>
      </c>
      <c r="U78" s="119">
        <f>Denmark!W18</f>
        <v>372</v>
      </c>
      <c r="V78" s="119">
        <f>Denmark!X18</f>
        <v>343</v>
      </c>
      <c r="W78" s="119">
        <f>Denmark!Y18</f>
        <v>672</v>
      </c>
      <c r="X78" s="119">
        <f>Denmark!Z18</f>
        <v>499</v>
      </c>
      <c r="Y78" s="119">
        <f>Denmark!AA18</f>
        <v>657</v>
      </c>
      <c r="Z78" s="119">
        <f>Denmark!AB18</f>
        <v>764</v>
      </c>
      <c r="AA78" s="119">
        <f>Denmark!AC18</f>
        <v>918</v>
      </c>
      <c r="AB78" s="228">
        <f>Denmark!AD18</f>
        <v>0</v>
      </c>
      <c r="AC78" s="100">
        <f t="shared" ref="AC78:AC80" si="8">Z78/Y78-1</f>
        <v>0.16286149162861485</v>
      </c>
    </row>
    <row r="79" spans="1:29" x14ac:dyDescent="0.2">
      <c r="A79" s="7" t="s">
        <v>125</v>
      </c>
      <c r="B79" s="6">
        <v>3440</v>
      </c>
      <c r="C79" s="6">
        <v>3584</v>
      </c>
      <c r="D79" s="6">
        <v>3197</v>
      </c>
      <c r="E79" s="6">
        <v>3334</v>
      </c>
      <c r="F79" s="6">
        <v>3972</v>
      </c>
      <c r="G79" s="6">
        <v>4435</v>
      </c>
      <c r="H79" s="6">
        <f>Sweden!J18</f>
        <v>4595.8</v>
      </c>
      <c r="I79" s="6">
        <f>Sweden!K18</f>
        <v>4675</v>
      </c>
      <c r="J79" s="6">
        <f>Sweden!L18</f>
        <v>4167</v>
      </c>
      <c r="K79" s="25">
        <f>Sweden!M18</f>
        <v>4881</v>
      </c>
      <c r="L79" s="6">
        <f>Sweden!N18</f>
        <v>3922</v>
      </c>
      <c r="M79" s="6">
        <f>Sweden!O18</f>
        <v>4045</v>
      </c>
      <c r="N79" s="6">
        <f>Sweden!P18</f>
        <v>3752</v>
      </c>
      <c r="O79" s="6">
        <f>Sweden!Q18</f>
        <v>4028</v>
      </c>
      <c r="P79" s="6">
        <f>Sweden!R18</f>
        <v>4240</v>
      </c>
      <c r="Q79" s="119">
        <f>Sweden!S18</f>
        <v>3970</v>
      </c>
      <c r="R79" s="119">
        <f>Sweden!T18</f>
        <v>3981</v>
      </c>
      <c r="S79" s="119">
        <f>Sweden!U18</f>
        <v>4660</v>
      </c>
      <c r="T79" s="119">
        <f>Sweden!V18</f>
        <v>4805</v>
      </c>
      <c r="U79" s="119">
        <f>Sweden!W18</f>
        <v>5290.8</v>
      </c>
      <c r="V79" s="119">
        <f>Sweden!X18</f>
        <v>4478.5</v>
      </c>
      <c r="W79" s="119">
        <f>Sweden!Y18</f>
        <v>3706</v>
      </c>
      <c r="X79" s="119">
        <f>Sweden!Z18</f>
        <v>3632</v>
      </c>
      <c r="Y79" s="119">
        <f>Sweden!AA18</f>
        <v>4000</v>
      </c>
      <c r="Z79" s="119">
        <f>Sweden!AB18</f>
        <v>4103</v>
      </c>
      <c r="AA79" s="119">
        <f>Sweden!AC18</f>
        <v>4744</v>
      </c>
      <c r="AB79" s="228">
        <f>Sweden!AD18</f>
        <v>4725</v>
      </c>
      <c r="AC79" s="100">
        <f t="shared" si="8"/>
        <v>2.574999999999994E-2</v>
      </c>
    </row>
    <row r="80" spans="1:29" x14ac:dyDescent="0.2">
      <c r="A80" s="7" t="s">
        <v>127</v>
      </c>
      <c r="B80" s="6">
        <v>5014</v>
      </c>
      <c r="C80" s="6">
        <v>4308</v>
      </c>
      <c r="D80" s="6">
        <v>5262</v>
      </c>
      <c r="E80" s="6">
        <v>5525</v>
      </c>
      <c r="F80" s="6">
        <v>7179</v>
      </c>
      <c r="G80" s="6">
        <v>7678</v>
      </c>
      <c r="H80" s="6">
        <f>Finland!J18</f>
        <v>7000</v>
      </c>
      <c r="I80" s="6">
        <f>Finland!K18</f>
        <v>5528</v>
      </c>
      <c r="J80" s="5">
        <f>Finland!L18</f>
        <v>5250</v>
      </c>
      <c r="K80" s="7">
        <f>Finland!M18</f>
        <v>7090</v>
      </c>
      <c r="L80" s="5">
        <f>Finland!N18</f>
        <v>6900</v>
      </c>
      <c r="M80" s="5">
        <f>Finland!O18</f>
        <v>7144</v>
      </c>
      <c r="N80" s="5">
        <f>Finland!P18</f>
        <v>6848</v>
      </c>
      <c r="O80" s="5">
        <f>Finland!Q18</f>
        <v>6614</v>
      </c>
      <c r="P80" s="5">
        <f>Finland!R18</f>
        <v>6621</v>
      </c>
      <c r="Q80" s="119">
        <f>Finland!S18</f>
        <v>6260</v>
      </c>
      <c r="R80" s="119">
        <f>Finland!T18</f>
        <v>6148.3400000000011</v>
      </c>
      <c r="S80" s="119">
        <f>Finland!U18</f>
        <v>5937</v>
      </c>
      <c r="T80" s="119">
        <f>Finland!V18</f>
        <v>6908</v>
      </c>
      <c r="U80" s="119">
        <f>Finland!W18</f>
        <v>7773</v>
      </c>
      <c r="V80" s="119">
        <f>Finland!X18</f>
        <v>7964</v>
      </c>
      <c r="W80" s="119">
        <f>Finland!Y18</f>
        <v>7859</v>
      </c>
      <c r="X80" s="119">
        <f>Finland!Z18</f>
        <v>7593</v>
      </c>
      <c r="Y80" s="119">
        <f>Finland!AA18</f>
        <v>8011</v>
      </c>
      <c r="Z80" s="119">
        <f>Finland!AB18</f>
        <v>6402</v>
      </c>
      <c r="AA80" s="119">
        <f>Finland!AC18</f>
        <v>8003</v>
      </c>
      <c r="AB80" s="228">
        <f>Finland!AD18</f>
        <v>7567</v>
      </c>
      <c r="AC80" s="100">
        <f t="shared" si="8"/>
        <v>-0.20084883285482458</v>
      </c>
    </row>
    <row r="81" spans="1:30" x14ac:dyDescent="0.2">
      <c r="A81" t="s">
        <v>138</v>
      </c>
      <c r="W81" s="176">
        <f>'Pays-Bas'!Y18</f>
        <v>251</v>
      </c>
      <c r="X81" s="176">
        <f>'Pays-Bas'!Z18</f>
        <v>369</v>
      </c>
      <c r="Z81" s="146"/>
      <c r="AC81" s="176"/>
    </row>
    <row r="82" spans="1:30" x14ac:dyDescent="0.2">
      <c r="Z82" s="146"/>
      <c r="AC82" s="176"/>
    </row>
    <row r="83" spans="1:30" ht="15.75" x14ac:dyDescent="0.25">
      <c r="A83" s="103" t="s">
        <v>139</v>
      </c>
      <c r="B83" s="44">
        <v>1997</v>
      </c>
      <c r="C83" s="44">
        <v>1998</v>
      </c>
      <c r="D83" s="44">
        <v>1999</v>
      </c>
      <c r="E83" s="44">
        <v>2000</v>
      </c>
      <c r="F83" s="44">
        <v>2001</v>
      </c>
      <c r="G83" s="44">
        <v>2002</v>
      </c>
      <c r="H83" s="109">
        <v>2003</v>
      </c>
      <c r="I83" s="109">
        <v>2004</v>
      </c>
      <c r="J83" s="109">
        <v>2005</v>
      </c>
      <c r="K83" s="110">
        <v>2006</v>
      </c>
      <c r="L83" s="109">
        <v>2007</v>
      </c>
      <c r="M83" s="111">
        <v>2008</v>
      </c>
      <c r="N83" s="109">
        <v>2009</v>
      </c>
      <c r="O83" s="109">
        <v>2010</v>
      </c>
      <c r="P83" s="111">
        <v>2011</v>
      </c>
      <c r="Q83" s="109">
        <v>2012</v>
      </c>
      <c r="R83" s="109">
        <v>2013</v>
      </c>
      <c r="S83" s="109">
        <v>2014</v>
      </c>
      <c r="T83" s="109">
        <v>2015</v>
      </c>
      <c r="U83" s="109">
        <v>2016</v>
      </c>
      <c r="V83" s="109">
        <v>2017</v>
      </c>
      <c r="W83" s="109">
        <v>2018</v>
      </c>
      <c r="X83" s="109">
        <v>2019</v>
      </c>
      <c r="Y83" s="109">
        <v>2020</v>
      </c>
      <c r="Z83" s="109">
        <v>2021</v>
      </c>
      <c r="AA83" s="109">
        <v>2022</v>
      </c>
      <c r="AB83" s="224" t="s">
        <v>119</v>
      </c>
      <c r="AC83" s="199" t="s">
        <v>120</v>
      </c>
    </row>
    <row r="84" spans="1:30" ht="15.75" x14ac:dyDescent="0.25">
      <c r="A84" s="25" t="s">
        <v>121</v>
      </c>
      <c r="B84" s="44"/>
      <c r="C84" s="44"/>
      <c r="D84" s="44"/>
      <c r="E84" s="44"/>
      <c r="F84" s="44"/>
      <c r="G84" s="44"/>
      <c r="H84" s="286">
        <f>Belgium!J19</f>
        <v>388</v>
      </c>
      <c r="I84" s="286">
        <f>Belgium!K19</f>
        <v>452</v>
      </c>
      <c r="J84" s="286">
        <f>Belgium!L19</f>
        <v>437</v>
      </c>
      <c r="K84" s="151">
        <f>Belgium!M19</f>
        <v>443</v>
      </c>
      <c r="L84" s="151">
        <f>Belgium!N19</f>
        <v>372</v>
      </c>
      <c r="M84" s="151">
        <f>Belgium!O19</f>
        <v>249.39</v>
      </c>
      <c r="N84" s="151">
        <f>Belgium!P19</f>
        <v>181</v>
      </c>
      <c r="O84" s="151">
        <f>Belgium!Q19</f>
        <v>265</v>
      </c>
      <c r="P84" s="151">
        <f>Belgium!R19</f>
        <v>202</v>
      </c>
      <c r="Q84" s="151">
        <f>Belgium!S19</f>
        <v>185</v>
      </c>
      <c r="R84" s="151">
        <f>Belgium!T19</f>
        <v>104.82</v>
      </c>
      <c r="S84" s="151">
        <f>Belgium!U19</f>
        <v>72</v>
      </c>
      <c r="T84" s="151">
        <f>Belgium!V19</f>
        <v>75</v>
      </c>
      <c r="U84" s="151">
        <f>Belgium!W19</f>
        <v>77</v>
      </c>
      <c r="V84" s="151">
        <f>Belgium!X19</f>
        <v>82</v>
      </c>
      <c r="W84" s="151">
        <f>Belgium!Y19</f>
        <v>79</v>
      </c>
      <c r="X84" s="151">
        <f>Belgium!Z19</f>
        <v>67</v>
      </c>
      <c r="Y84" s="151">
        <f>Belgium!AA19</f>
        <v>69</v>
      </c>
      <c r="Z84" s="151">
        <f>Belgium!AB19</f>
        <v>62</v>
      </c>
      <c r="AA84" s="151">
        <f>Belgium!AC19</f>
        <v>69</v>
      </c>
      <c r="AB84" s="230">
        <f>Belgium!AD19</f>
        <v>25</v>
      </c>
      <c r="AC84" s="100">
        <f>Z84/Y84-1</f>
        <v>-0.10144927536231885</v>
      </c>
    </row>
    <row r="85" spans="1:30" x14ac:dyDescent="0.2">
      <c r="A85" s="25" t="s">
        <v>122</v>
      </c>
      <c r="B85" s="6">
        <v>593</v>
      </c>
      <c r="C85" s="6">
        <v>575</v>
      </c>
      <c r="D85" s="6">
        <v>467</v>
      </c>
      <c r="E85" s="6">
        <v>408</v>
      </c>
      <c r="F85" s="6">
        <v>312</v>
      </c>
      <c r="G85" s="6">
        <v>314</v>
      </c>
      <c r="H85" s="119">
        <f>Germany!J20</f>
        <v>441</v>
      </c>
      <c r="I85" s="119">
        <f>Germany!K20</f>
        <v>450</v>
      </c>
      <c r="J85" s="119">
        <f>Germany!L20</f>
        <v>495</v>
      </c>
      <c r="K85" s="287">
        <f>Germany!M20</f>
        <v>302</v>
      </c>
      <c r="L85" s="152">
        <f>Germany!N20</f>
        <v>325</v>
      </c>
      <c r="M85" s="152">
        <f>Germany!O20</f>
        <v>215</v>
      </c>
      <c r="N85" s="152">
        <f>Germany!P20</f>
        <v>134</v>
      </c>
      <c r="O85" s="152">
        <f>Germany!Q20</f>
        <v>187</v>
      </c>
      <c r="P85" s="152">
        <f>Germany!R20</f>
        <v>216</v>
      </c>
      <c r="Q85" s="152">
        <f>Germany!S20</f>
        <v>181</v>
      </c>
      <c r="R85" s="152">
        <f>Germany!T20</f>
        <v>149</v>
      </c>
      <c r="S85" s="152">
        <f>Germany!U20</f>
        <v>154</v>
      </c>
      <c r="T85" s="152">
        <f>Germany!V20</f>
        <v>122</v>
      </c>
      <c r="U85" s="152">
        <f>Germany!W20</f>
        <v>57</v>
      </c>
      <c r="V85" s="152">
        <f>Germany!X20</f>
        <v>77</v>
      </c>
      <c r="W85" s="152">
        <f>Germany!Y20</f>
        <v>80</v>
      </c>
      <c r="X85" s="152">
        <f>Germany!Z20</f>
        <v>75</v>
      </c>
      <c r="Y85" s="152">
        <f>Germany!AA20</f>
        <v>81</v>
      </c>
      <c r="Z85" s="152">
        <f>Germany!AB20</f>
        <v>39</v>
      </c>
      <c r="AA85" s="152">
        <f>Germany!AC20</f>
        <v>56</v>
      </c>
      <c r="AB85" s="231">
        <f>Germany!AD20</f>
        <v>0</v>
      </c>
      <c r="AC85" s="100">
        <f t="shared" ref="AC85:AC89" si="9">Z85/Y85-1</f>
        <v>-0.5185185185185186</v>
      </c>
    </row>
    <row r="86" spans="1:30" x14ac:dyDescent="0.2">
      <c r="A86" s="25" t="s">
        <v>123</v>
      </c>
      <c r="B86" s="6">
        <v>5530</v>
      </c>
      <c r="C86" s="6">
        <v>5808</v>
      </c>
      <c r="D86" s="6">
        <v>7065</v>
      </c>
      <c r="E86" s="6">
        <v>7817</v>
      </c>
      <c r="F86" s="6">
        <v>9629</v>
      </c>
      <c r="G86" s="6">
        <v>11136</v>
      </c>
      <c r="H86" s="119">
        <f>Denmark!J19</f>
        <v>10150</v>
      </c>
      <c r="I86" s="119">
        <f>Denmark!K19</f>
        <v>9335</v>
      </c>
      <c r="J86" s="119">
        <f>Denmark!L19</f>
        <v>10286</v>
      </c>
      <c r="K86" s="120">
        <f>Denmark!M19</f>
        <v>10503</v>
      </c>
      <c r="L86" s="119">
        <f>Denmark!N19</f>
        <v>8533</v>
      </c>
      <c r="M86" s="119">
        <f>Denmark!O19</f>
        <v>5962</v>
      </c>
      <c r="N86" s="119">
        <f>Denmark!P19</f>
        <v>6949</v>
      </c>
      <c r="O86" s="119">
        <f>Denmark!Q19</f>
        <v>6890</v>
      </c>
      <c r="P86" s="119">
        <f>Denmark!R19</f>
        <v>7438</v>
      </c>
      <c r="Q86" s="119">
        <f>Denmark!S19</f>
        <v>7036</v>
      </c>
      <c r="R86" s="152">
        <f>Denmark!T19</f>
        <v>5937</v>
      </c>
      <c r="S86" s="152">
        <f>Denmark!U19</f>
        <v>5482</v>
      </c>
      <c r="T86" s="152">
        <f>Denmark!V19</f>
        <v>5839</v>
      </c>
      <c r="U86" s="152">
        <f>Denmark!W19</f>
        <v>7009</v>
      </c>
      <c r="V86" s="152">
        <f>Denmark!X19</f>
        <v>7928</v>
      </c>
      <c r="W86" s="152">
        <f>Denmark!Y19</f>
        <v>8755</v>
      </c>
      <c r="X86" s="152">
        <f>Denmark!Z19</f>
        <v>10243</v>
      </c>
      <c r="Y86" s="152">
        <f>Denmark!AA19</f>
        <v>9202</v>
      </c>
      <c r="Z86" s="152">
        <f>Denmark!AB19</f>
        <v>9094</v>
      </c>
      <c r="AA86" s="152">
        <f>Denmark!AC19</f>
        <v>9517</v>
      </c>
      <c r="AB86" s="231">
        <f>Denmark!AD19</f>
        <v>0</v>
      </c>
      <c r="AC86" s="100">
        <f t="shared" si="9"/>
        <v>-1.1736579004564263E-2</v>
      </c>
    </row>
    <row r="87" spans="1:30" x14ac:dyDescent="0.2">
      <c r="A87" s="7" t="s">
        <v>138</v>
      </c>
      <c r="B87" s="6">
        <v>2345</v>
      </c>
      <c r="C87" s="6">
        <v>2433</v>
      </c>
      <c r="D87" s="6">
        <v>2398</v>
      </c>
      <c r="E87" s="6">
        <v>2114</v>
      </c>
      <c r="F87" s="6">
        <v>1851</v>
      </c>
      <c r="G87" s="6">
        <v>1824</v>
      </c>
      <c r="H87" s="119">
        <v>1604</v>
      </c>
      <c r="I87" s="119">
        <v>1377</v>
      </c>
      <c r="J87" s="123">
        <f>'Pays-Bas'!L6</f>
        <v>1226</v>
      </c>
      <c r="K87" s="120">
        <f>'Pays-Bas'!M19</f>
        <v>1200</v>
      </c>
      <c r="L87" s="6">
        <f>'Pays-Bas'!N19</f>
        <v>0</v>
      </c>
      <c r="M87" s="5">
        <f>'Pays-Bas'!O19</f>
        <v>775</v>
      </c>
      <c r="N87" s="5">
        <f>'Pays-Bas'!P19</f>
        <v>724</v>
      </c>
      <c r="O87" s="5">
        <f>'Pays-Bas'!Q19</f>
        <v>845</v>
      </c>
      <c r="P87" s="5">
        <f>'Pays-Bas'!R19</f>
        <v>741</v>
      </c>
      <c r="Q87" s="123">
        <f>'Pays-Bas'!S19</f>
        <v>562</v>
      </c>
      <c r="R87" s="123">
        <f>'Pays-Bas'!T19</f>
        <v>467</v>
      </c>
      <c r="S87" s="123">
        <f>'Pays-Bas'!U19</f>
        <v>424</v>
      </c>
      <c r="T87" s="123">
        <f>'Pays-Bas'!V19</f>
        <v>330</v>
      </c>
      <c r="U87" s="123">
        <f>'Pays-Bas'!W19</f>
        <v>333</v>
      </c>
      <c r="V87" s="123"/>
      <c r="W87" s="123">
        <f>'Pays-Bas'!Y19</f>
        <v>399</v>
      </c>
      <c r="X87" s="123">
        <f>'Pays-Bas'!Z19</f>
        <v>321</v>
      </c>
      <c r="Y87" s="123"/>
      <c r="Z87" s="123"/>
      <c r="AA87" s="123"/>
      <c r="AB87" s="232"/>
      <c r="AC87" s="100" t="e">
        <f t="shared" si="9"/>
        <v>#DIV/0!</v>
      </c>
    </row>
    <row r="88" spans="1:30" x14ac:dyDescent="0.2">
      <c r="A88" s="7" t="s">
        <v>125</v>
      </c>
      <c r="B88" s="6">
        <v>334</v>
      </c>
      <c r="C88" s="6">
        <v>302</v>
      </c>
      <c r="D88" s="6">
        <v>248</v>
      </c>
      <c r="E88" s="6">
        <v>251</v>
      </c>
      <c r="F88" s="6">
        <v>284</v>
      </c>
      <c r="G88" s="6">
        <v>542</v>
      </c>
      <c r="H88" s="119">
        <f>Sweden!J19</f>
        <v>713</v>
      </c>
      <c r="I88" s="119">
        <f>Sweden!K19</f>
        <v>630</v>
      </c>
      <c r="J88" s="123">
        <f>Sweden!L19</f>
        <v>568</v>
      </c>
      <c r="K88" s="120">
        <f>Sweden!M19</f>
        <v>502</v>
      </c>
      <c r="L88" s="119">
        <f>Sweden!N19</f>
        <v>525</v>
      </c>
      <c r="M88" s="119">
        <f>Sweden!O19</f>
        <v>457</v>
      </c>
      <c r="N88" s="119">
        <f>Sweden!P19</f>
        <v>410</v>
      </c>
      <c r="O88" s="119">
        <f>Sweden!Q19</f>
        <v>387</v>
      </c>
      <c r="P88" s="119">
        <f>Sweden!R19</f>
        <v>444</v>
      </c>
      <c r="Q88" s="119">
        <f>Sweden!S19</f>
        <v>408</v>
      </c>
      <c r="R88" s="119">
        <f>Sweden!T19</f>
        <v>335</v>
      </c>
      <c r="S88" s="119">
        <f>Sweden!U19</f>
        <v>348</v>
      </c>
      <c r="T88" s="119">
        <f>Sweden!V19</f>
        <v>253</v>
      </c>
      <c r="U88" s="119">
        <f>Sweden!W19</f>
        <v>228.3</v>
      </c>
      <c r="V88" s="119">
        <f>Sweden!X19</f>
        <v>328.8</v>
      </c>
      <c r="W88" s="119">
        <f>Sweden!Y19</f>
        <v>447</v>
      </c>
      <c r="X88" s="119">
        <f>Sweden!Z19</f>
        <v>470</v>
      </c>
      <c r="Y88" s="119">
        <f>Sweden!AA19</f>
        <v>383</v>
      </c>
      <c r="Z88" s="119">
        <f>Sweden!AB19</f>
        <v>403</v>
      </c>
      <c r="AA88" s="119">
        <f>Sweden!AC19</f>
        <v>409</v>
      </c>
      <c r="AB88" s="228">
        <f>Sweden!AD19</f>
        <v>379</v>
      </c>
      <c r="AC88" s="100">
        <f t="shared" si="9"/>
        <v>5.2219321148825104E-2</v>
      </c>
    </row>
    <row r="89" spans="1:30" x14ac:dyDescent="0.2">
      <c r="A89" s="7" t="s">
        <v>126</v>
      </c>
      <c r="B89" s="6">
        <v>210</v>
      </c>
      <c r="C89" s="6">
        <v>41</v>
      </c>
      <c r="D89" s="6">
        <v>144</v>
      </c>
      <c r="E89" s="6">
        <v>30</v>
      </c>
      <c r="F89" s="6">
        <v>105</v>
      </c>
      <c r="G89" s="6">
        <v>30</v>
      </c>
      <c r="H89" s="119"/>
      <c r="I89" s="119"/>
      <c r="J89" s="124"/>
      <c r="K89" s="285"/>
      <c r="L89" s="123"/>
      <c r="M89" s="123"/>
      <c r="N89" s="123"/>
      <c r="O89" s="123"/>
      <c r="P89" s="123">
        <f>UK!R19</f>
        <v>0</v>
      </c>
      <c r="Q89" s="123">
        <f>UK!S19</f>
        <v>0</v>
      </c>
      <c r="R89" s="123">
        <f>UK!U19</f>
        <v>0</v>
      </c>
      <c r="S89" s="123">
        <f>UK!V19</f>
        <v>0</v>
      </c>
      <c r="T89" s="123">
        <f>UK!W19</f>
        <v>0</v>
      </c>
      <c r="U89" s="123">
        <f>UK!X19</f>
        <v>0</v>
      </c>
      <c r="V89" s="123">
        <f>UK!Y19</f>
        <v>0</v>
      </c>
      <c r="W89" s="123">
        <f>UK!Z19</f>
        <v>0</v>
      </c>
      <c r="X89" s="123">
        <f>UK!AA19</f>
        <v>0</v>
      </c>
      <c r="Y89" s="123">
        <f>UK!AB19</f>
        <v>0</v>
      </c>
      <c r="Z89" s="123">
        <f>UK!AC19</f>
        <v>0</v>
      </c>
      <c r="AA89" s="123">
        <f>UK!AD19</f>
        <v>0</v>
      </c>
      <c r="AB89" s="232">
        <f>UK!AE19</f>
        <v>0</v>
      </c>
      <c r="AC89" s="100" t="e">
        <f t="shared" si="9"/>
        <v>#DIV/0!</v>
      </c>
    </row>
    <row r="90" spans="1:30" x14ac:dyDescent="0.2">
      <c r="Z90" s="146"/>
      <c r="AC90" s="176"/>
    </row>
    <row r="91" spans="1:30" x14ac:dyDescent="0.2">
      <c r="Z91" s="146"/>
      <c r="AC91" s="176"/>
    </row>
    <row r="92" spans="1:30" ht="15.75" x14ac:dyDescent="0.25">
      <c r="A92" s="102" t="s">
        <v>140</v>
      </c>
      <c r="B92" s="44">
        <v>1997</v>
      </c>
      <c r="C92" s="44">
        <v>1998</v>
      </c>
      <c r="D92" s="44">
        <v>1999</v>
      </c>
      <c r="E92" s="44">
        <v>2000</v>
      </c>
      <c r="F92" s="44">
        <v>2001</v>
      </c>
      <c r="G92" s="44">
        <v>2002</v>
      </c>
      <c r="H92" s="109">
        <v>2003</v>
      </c>
      <c r="I92" s="109">
        <v>2004</v>
      </c>
      <c r="J92" s="109">
        <v>2005</v>
      </c>
      <c r="K92" s="110">
        <v>2006</v>
      </c>
      <c r="L92" s="109">
        <v>2007</v>
      </c>
      <c r="M92" s="111">
        <v>2008</v>
      </c>
      <c r="N92" s="109">
        <v>2009</v>
      </c>
      <c r="O92" s="109">
        <v>2010</v>
      </c>
      <c r="P92" s="111">
        <v>2011</v>
      </c>
      <c r="Q92" s="109">
        <v>2012</v>
      </c>
      <c r="R92" s="109">
        <v>2013</v>
      </c>
      <c r="S92" s="109">
        <v>2014</v>
      </c>
      <c r="T92" s="109">
        <v>2015</v>
      </c>
      <c r="U92" s="109">
        <v>2016</v>
      </c>
      <c r="V92" s="109">
        <v>2017</v>
      </c>
      <c r="W92" s="109">
        <v>2018</v>
      </c>
      <c r="X92" s="109">
        <v>2019</v>
      </c>
      <c r="Y92" s="109">
        <v>2020</v>
      </c>
      <c r="Z92" s="109">
        <v>2021</v>
      </c>
      <c r="AA92" s="109">
        <v>2022</v>
      </c>
      <c r="AB92" s="224" t="s">
        <v>119</v>
      </c>
      <c r="AC92" s="199" t="s">
        <v>120</v>
      </c>
    </row>
    <row r="93" spans="1:30" x14ac:dyDescent="0.2">
      <c r="A93" s="25" t="s">
        <v>121</v>
      </c>
      <c r="B93" s="6">
        <v>87</v>
      </c>
      <c r="C93" s="6">
        <v>195</v>
      </c>
      <c r="D93" s="6">
        <v>326</v>
      </c>
      <c r="E93" s="6">
        <v>416</v>
      </c>
      <c r="F93" s="6">
        <v>536</v>
      </c>
      <c r="G93" s="6">
        <v>210</v>
      </c>
      <c r="H93" s="6">
        <f>Belgium!J20</f>
        <v>171</v>
      </c>
      <c r="I93" s="6">
        <f>Belgium!K20</f>
        <v>177</v>
      </c>
      <c r="J93" s="6">
        <f>Belgium!L20</f>
        <v>219</v>
      </c>
      <c r="K93" s="25">
        <f>Belgium!M20</f>
        <v>203</v>
      </c>
      <c r="L93" s="6">
        <f>Belgium!N20</f>
        <v>127</v>
      </c>
      <c r="M93" s="6">
        <f>Belgium!O20</f>
        <v>115</v>
      </c>
      <c r="N93" s="6">
        <f>Belgium!P20</f>
        <v>134.72999999999999</v>
      </c>
      <c r="O93" s="25">
        <f>Belgium!Q20</f>
        <v>29</v>
      </c>
      <c r="P93" s="6">
        <f>Belgium!R20</f>
        <v>34</v>
      </c>
      <c r="Q93" s="119">
        <f>Belgium!S20</f>
        <v>24</v>
      </c>
      <c r="R93" s="119">
        <f>Belgium!T20</f>
        <v>15</v>
      </c>
      <c r="S93" s="119">
        <f>Belgium!U20</f>
        <v>7</v>
      </c>
      <c r="T93" s="119">
        <f>Belgium!V20</f>
        <v>11</v>
      </c>
      <c r="U93" s="119">
        <f>Belgium!W20</f>
        <v>37</v>
      </c>
      <c r="V93" s="119">
        <f>Belgium!X20</f>
        <v>32</v>
      </c>
      <c r="W93" s="119">
        <f>Belgium!Y20</f>
        <v>25</v>
      </c>
      <c r="X93" s="119">
        <f>Belgium!Z20</f>
        <v>0</v>
      </c>
      <c r="Y93" s="119">
        <f>Belgium!AA20</f>
        <v>49</v>
      </c>
      <c r="Z93" s="119">
        <f>Belgium!AB20</f>
        <v>34</v>
      </c>
      <c r="AA93" s="119">
        <f>Belgium!AC20</f>
        <v>16</v>
      </c>
      <c r="AB93" s="228">
        <f>Belgium!AD20</f>
        <v>0</v>
      </c>
      <c r="AC93" s="100">
        <f>Z93/Y93-1</f>
        <v>-0.30612244897959184</v>
      </c>
    </row>
    <row r="94" spans="1:30" x14ac:dyDescent="0.2">
      <c r="A94" s="25" t="s">
        <v>122</v>
      </c>
      <c r="B94" s="6">
        <v>1990</v>
      </c>
      <c r="C94" s="6">
        <v>2553</v>
      </c>
      <c r="D94" s="6">
        <v>2768</v>
      </c>
      <c r="E94" s="6">
        <v>3219</v>
      </c>
      <c r="F94" s="6">
        <v>3796</v>
      </c>
      <c r="G94" s="6">
        <v>3457</v>
      </c>
      <c r="H94" s="6">
        <f>Germany!J21</f>
        <v>2886</v>
      </c>
      <c r="I94" s="58">
        <f>Germany!K21</f>
        <v>2248</v>
      </c>
      <c r="J94" s="6">
        <f>Germany!L21</f>
        <v>2638</v>
      </c>
      <c r="K94" s="25">
        <f>Germany!M21</f>
        <v>2946</v>
      </c>
      <c r="L94" s="6">
        <f>Germany!N21</f>
        <v>2904</v>
      </c>
      <c r="M94" s="6">
        <f>Germany!O21</f>
        <v>2375</v>
      </c>
      <c r="N94" s="6">
        <f>Germany!P21</f>
        <v>1557</v>
      </c>
      <c r="O94" s="25">
        <f>Germany!Q21</f>
        <v>1609</v>
      </c>
      <c r="P94" s="6">
        <f>Germany!R21</f>
        <v>1609</v>
      </c>
      <c r="Q94" s="119">
        <f>Germany!S21</f>
        <v>1302</v>
      </c>
      <c r="R94" s="119">
        <f>Germany!T21</f>
        <v>1478</v>
      </c>
      <c r="S94" s="119">
        <f>Germany!U21</f>
        <v>1304</v>
      </c>
      <c r="T94" s="119">
        <f>Germany!V21</f>
        <v>1142</v>
      </c>
      <c r="U94" s="119">
        <f>Germany!W21</f>
        <v>1575</v>
      </c>
      <c r="V94" s="119">
        <f>Germany!X21</f>
        <v>1609</v>
      </c>
      <c r="W94" s="119">
        <f>Germany!Y21</f>
        <v>2170</v>
      </c>
      <c r="X94" s="119">
        <f>Germany!Z21</f>
        <v>1937</v>
      </c>
      <c r="Y94" s="119">
        <f>Germany!AA21</f>
        <v>1741</v>
      </c>
      <c r="Z94" s="119">
        <f>Germany!AB21</f>
        <v>1806</v>
      </c>
      <c r="AA94" s="119">
        <f>Germany!AC21</f>
        <v>1946</v>
      </c>
      <c r="AB94" s="228">
        <f>Germany!AD21</f>
        <v>0</v>
      </c>
      <c r="AC94" s="100">
        <f t="shared" ref="AC94:AC99" si="10">Z94/Y94-1</f>
        <v>3.7334865020103303E-2</v>
      </c>
    </row>
    <row r="95" spans="1:30" x14ac:dyDescent="0.2">
      <c r="A95" s="25" t="s">
        <v>123</v>
      </c>
      <c r="B95" s="6">
        <v>15473</v>
      </c>
      <c r="C95" s="6">
        <v>22494</v>
      </c>
      <c r="D95" s="6">
        <v>26033</v>
      </c>
      <c r="E95" s="6">
        <v>27317</v>
      </c>
      <c r="F95" s="6">
        <v>29676</v>
      </c>
      <c r="G95" s="6">
        <v>16073</v>
      </c>
      <c r="H95" s="6">
        <v>21659</v>
      </c>
      <c r="I95" s="6">
        <v>23645</v>
      </c>
      <c r="J95" s="6">
        <v>26105</v>
      </c>
      <c r="K95" s="25">
        <f>Denmark!M20</f>
        <v>26195</v>
      </c>
      <c r="L95" s="6">
        <f>Denmark!N20</f>
        <v>20973</v>
      </c>
      <c r="M95" s="6">
        <f>Denmark!O20</f>
        <v>16676</v>
      </c>
      <c r="N95" s="6">
        <f>Denmark!P20</f>
        <v>21129</v>
      </c>
      <c r="O95" s="25">
        <f>Denmark!Q20</f>
        <v>16857</v>
      </c>
      <c r="P95" s="6">
        <f>Denmark!R20</f>
        <v>15646</v>
      </c>
      <c r="Q95" s="119">
        <f>Denmark!S20</f>
        <v>15111</v>
      </c>
      <c r="R95" s="119">
        <f>Denmark!T20</f>
        <v>17919</v>
      </c>
      <c r="S95" s="119">
        <f>Denmark!U20</f>
        <v>17827</v>
      </c>
      <c r="T95" s="119">
        <f>Denmark!V20</f>
        <v>16881</v>
      </c>
      <c r="U95" s="119">
        <f>Denmark!W20</f>
        <v>17771</v>
      </c>
      <c r="V95" s="119">
        <f>Denmark!X20</f>
        <v>17958</v>
      </c>
      <c r="W95" s="119">
        <f>Denmark!Y20</f>
        <v>22509</v>
      </c>
      <c r="X95" s="119">
        <f>Denmark!Z20</f>
        <v>19441</v>
      </c>
      <c r="Y95" s="119">
        <f>Denmark!AA20</f>
        <v>19346</v>
      </c>
      <c r="Z95" s="119">
        <f>Denmark!AB20</f>
        <v>22160</v>
      </c>
      <c r="AA95" s="119">
        <f>Denmark!AC20</f>
        <v>26393</v>
      </c>
      <c r="AB95" s="228">
        <f>Denmark!AD20</f>
        <v>0</v>
      </c>
      <c r="AC95" s="100">
        <f t="shared" si="10"/>
        <v>0.14545642510079593</v>
      </c>
      <c r="AD95" s="118"/>
    </row>
    <row r="96" spans="1:30" x14ac:dyDescent="0.2">
      <c r="A96" s="49" t="s">
        <v>7</v>
      </c>
      <c r="B96" s="52">
        <v>1414</v>
      </c>
      <c r="C96" s="52">
        <v>2114</v>
      </c>
      <c r="D96" s="52">
        <v>2489</v>
      </c>
      <c r="E96" s="52">
        <v>3808</v>
      </c>
      <c r="F96" s="52">
        <v>4212</v>
      </c>
      <c r="G96" s="52">
        <v>3080</v>
      </c>
      <c r="H96" s="52">
        <f>France!J21</f>
        <v>1861</v>
      </c>
      <c r="I96" s="52">
        <f>France!K21</f>
        <v>2003</v>
      </c>
      <c r="J96" s="52">
        <f>France!L21</f>
        <v>2944</v>
      </c>
      <c r="K96" s="67">
        <f>France!M21</f>
        <v>3274</v>
      </c>
      <c r="L96" s="52">
        <f>France!N21</f>
        <v>2377</v>
      </c>
      <c r="M96" s="52">
        <f>France!O21</f>
        <v>1517</v>
      </c>
      <c r="N96" s="52">
        <f>France!P21</f>
        <v>1204</v>
      </c>
      <c r="O96" s="67">
        <f>France!Q21</f>
        <v>1442</v>
      </c>
      <c r="P96" s="52">
        <f>France!R21</f>
        <v>1557</v>
      </c>
      <c r="Q96" s="121">
        <f>France!S21</f>
        <v>1181</v>
      </c>
      <c r="R96" s="121">
        <f>France!T21</f>
        <v>1080</v>
      </c>
      <c r="S96" s="121">
        <f>France!U21</f>
        <v>843</v>
      </c>
      <c r="T96" s="121">
        <f>France!V21</f>
        <v>824</v>
      </c>
      <c r="U96" s="121">
        <f>France!W21</f>
        <v>750</v>
      </c>
      <c r="V96" s="121">
        <f>France!X21</f>
        <v>893</v>
      </c>
      <c r="W96" s="121">
        <f>France!Y21</f>
        <v>997</v>
      </c>
      <c r="X96" s="121">
        <f>France!Z21</f>
        <v>733</v>
      </c>
      <c r="Y96" s="121">
        <f>France!AA21</f>
        <v>816</v>
      </c>
      <c r="Z96" s="121">
        <f>France!AB21</f>
        <v>859</v>
      </c>
      <c r="AA96" s="121">
        <f>France!AC21</f>
        <v>1021</v>
      </c>
      <c r="AB96" s="227">
        <f>France!AD21</f>
        <v>787</v>
      </c>
      <c r="AC96" s="100">
        <f t="shared" si="10"/>
        <v>5.2696078431372584E-2</v>
      </c>
    </row>
    <row r="97" spans="1:29" x14ac:dyDescent="0.2">
      <c r="A97" s="7" t="s">
        <v>138</v>
      </c>
      <c r="B97" s="6">
        <v>1570</v>
      </c>
      <c r="C97" s="6">
        <v>3368</v>
      </c>
      <c r="D97" s="6">
        <v>3500</v>
      </c>
      <c r="E97" s="6">
        <v>2949</v>
      </c>
      <c r="F97" s="6">
        <v>2917</v>
      </c>
      <c r="G97" s="6">
        <v>2560</v>
      </c>
      <c r="H97" s="6">
        <f>'Pays-Bas'!J20</f>
        <v>1986</v>
      </c>
      <c r="I97" s="6">
        <f>'Pays-Bas'!K20</f>
        <v>2011</v>
      </c>
      <c r="J97" s="5">
        <f>'Pays-Bas'!L20</f>
        <v>2466</v>
      </c>
      <c r="K97" s="25">
        <f>'Pays-Bas'!M20</f>
        <v>2470</v>
      </c>
      <c r="L97" s="25">
        <f>'Pays-Bas'!N20</f>
        <v>2105</v>
      </c>
      <c r="M97" s="25">
        <f>'Pays-Bas'!O20</f>
        <v>885</v>
      </c>
      <c r="N97" s="25">
        <f>'Pays-Bas'!P20</f>
        <v>1029</v>
      </c>
      <c r="O97" s="25">
        <f>'Pays-Bas'!Q20</f>
        <v>747</v>
      </c>
      <c r="P97" s="6">
        <f>'Pays-Bas'!R20</f>
        <v>496</v>
      </c>
      <c r="Q97" s="119">
        <f>'Pays-Bas'!S20</f>
        <v>376</v>
      </c>
      <c r="R97" s="119">
        <f>'Pays-Bas'!T20</f>
        <v>202</v>
      </c>
      <c r="S97" s="119">
        <f>'Pays-Bas'!U20</f>
        <v>180</v>
      </c>
      <c r="T97" s="119">
        <f>'Pays-Bas'!V20</f>
        <v>193</v>
      </c>
      <c r="U97" s="119">
        <f>'Pays-Bas'!W20</f>
        <v>309</v>
      </c>
      <c r="V97" s="119"/>
      <c r="W97" s="119">
        <f>'Pays-Bas'!Y20</f>
        <v>370</v>
      </c>
      <c r="X97" s="119">
        <f>'Pays-Bas'!Z20</f>
        <v>310</v>
      </c>
      <c r="Y97" s="119"/>
      <c r="Z97" s="119"/>
      <c r="AA97" s="119"/>
      <c r="AB97" s="228"/>
      <c r="AC97" s="100" t="e">
        <f t="shared" si="10"/>
        <v>#DIV/0!</v>
      </c>
    </row>
    <row r="98" spans="1:29" x14ac:dyDescent="0.2">
      <c r="A98" s="7" t="s">
        <v>125</v>
      </c>
      <c r="B98" s="6">
        <v>783</v>
      </c>
      <c r="C98" s="6">
        <v>818</v>
      </c>
      <c r="D98" s="6">
        <v>943</v>
      </c>
      <c r="E98" s="6">
        <v>1011</v>
      </c>
      <c r="F98" s="6">
        <v>1256</v>
      </c>
      <c r="G98" s="6">
        <v>1533</v>
      </c>
      <c r="H98" s="6">
        <f>Sweden!J20</f>
        <v>1410</v>
      </c>
      <c r="I98" s="6">
        <f>Sweden!K20</f>
        <v>1249</v>
      </c>
      <c r="J98" s="6">
        <f>Sweden!L20</f>
        <v>1317</v>
      </c>
      <c r="K98" s="25">
        <f>Sweden!M20</f>
        <v>1585</v>
      </c>
      <c r="L98" s="25">
        <f>Sweden!N20</f>
        <v>1672</v>
      </c>
      <c r="M98" s="25">
        <f>Sweden!O20</f>
        <v>1736</v>
      </c>
      <c r="N98" s="25">
        <f>Sweden!P20</f>
        <v>1911</v>
      </c>
      <c r="O98" s="25">
        <f>Sweden!Q20</f>
        <v>1964</v>
      </c>
      <c r="P98" s="6">
        <f>Sweden!R20</f>
        <v>1779</v>
      </c>
      <c r="Q98" s="119">
        <f>Sweden!S20</f>
        <v>1624</v>
      </c>
      <c r="R98" s="119">
        <f>Sweden!T20</f>
        <v>1766</v>
      </c>
      <c r="S98" s="119">
        <f>Sweden!U20</f>
        <v>1693</v>
      </c>
      <c r="T98" s="119">
        <f>Sweden!V20</f>
        <v>1973</v>
      </c>
      <c r="U98" s="119">
        <f>Sweden!W20</f>
        <v>1876.7</v>
      </c>
      <c r="V98" s="119">
        <f>Sweden!X20</f>
        <v>2436.1999999999998</v>
      </c>
      <c r="W98" s="119">
        <f>Sweden!Y20</f>
        <v>2956</v>
      </c>
      <c r="X98" s="119">
        <f>Sweden!Z20</f>
        <v>2586</v>
      </c>
      <c r="Y98" s="119">
        <f>Sweden!AA20</f>
        <v>3333</v>
      </c>
      <c r="Z98" s="119">
        <f>Sweden!AB20</f>
        <v>3573</v>
      </c>
      <c r="AA98" s="119">
        <f>Sweden!AC20</f>
        <v>3507</v>
      </c>
      <c r="AB98" s="228">
        <f>Sweden!AD20</f>
        <v>3133</v>
      </c>
      <c r="AC98" s="100">
        <f t="shared" si="10"/>
        <v>7.2007200720072051E-2</v>
      </c>
    </row>
    <row r="99" spans="1:29" x14ac:dyDescent="0.2">
      <c r="A99" s="7" t="s">
        <v>126</v>
      </c>
      <c r="B99" s="6">
        <v>314</v>
      </c>
      <c r="C99" s="6">
        <v>355</v>
      </c>
      <c r="D99" s="6">
        <v>410</v>
      </c>
      <c r="E99" s="6">
        <v>399</v>
      </c>
      <c r="F99" s="6">
        <v>294</v>
      </c>
      <c r="G99" s="6">
        <v>311</v>
      </c>
      <c r="H99" s="6">
        <f>UK!J20</f>
        <v>264</v>
      </c>
      <c r="I99" s="6">
        <f>UK!K20</f>
        <v>358.6</v>
      </c>
      <c r="J99" s="63">
        <f>UK!L20</f>
        <v>309.89999999999998</v>
      </c>
      <c r="K99" s="25">
        <f>UK!M20</f>
        <v>372.3</v>
      </c>
      <c r="L99" s="25">
        <f>UK!N20</f>
        <v>485.9</v>
      </c>
      <c r="M99" s="25">
        <f>UK!O20</f>
        <v>350.1</v>
      </c>
      <c r="N99" s="25">
        <f>UK!P20</f>
        <v>349</v>
      </c>
      <c r="O99" s="25">
        <f>UK!Q20</f>
        <v>361</v>
      </c>
      <c r="P99" s="6">
        <f>UK!R20</f>
        <v>275.3</v>
      </c>
      <c r="Q99" s="119">
        <f>UK!S20</f>
        <v>246</v>
      </c>
      <c r="R99" s="119">
        <f>UK!T20</f>
        <v>179</v>
      </c>
      <c r="S99" s="119">
        <f>UK!U20</f>
        <v>253</v>
      </c>
      <c r="T99" s="119">
        <f>UK!V20</f>
        <v>264.3</v>
      </c>
      <c r="U99" s="119">
        <f>UK!W20</f>
        <v>358</v>
      </c>
      <c r="V99" s="119">
        <f>UK!X20</f>
        <v>496</v>
      </c>
      <c r="W99" s="119">
        <f>UK!Y20</f>
        <v>449.3</v>
      </c>
      <c r="X99" s="119">
        <f>UK!Z20</f>
        <v>576</v>
      </c>
      <c r="Y99" s="119">
        <f>UK!AA20</f>
        <v>540</v>
      </c>
      <c r="Z99" s="119">
        <f>UK!AB20</f>
        <v>532.29999999999995</v>
      </c>
      <c r="AA99" s="119">
        <f>UK!AC20</f>
        <v>621.29999999999995</v>
      </c>
      <c r="AB99" s="228">
        <f>UK!AD20</f>
        <v>522.6</v>
      </c>
      <c r="AC99" s="100">
        <f t="shared" si="10"/>
        <v>-1.4259259259259305E-2</v>
      </c>
    </row>
    <row r="100" spans="1:29" x14ac:dyDescent="0.2">
      <c r="Z100" s="146"/>
      <c r="AC100" s="176"/>
    </row>
    <row r="101" spans="1:29" x14ac:dyDescent="0.2">
      <c r="Z101" s="146"/>
      <c r="AC101" s="176"/>
    </row>
    <row r="102" spans="1:29" ht="15.75" x14ac:dyDescent="0.25">
      <c r="A102" s="153" t="s">
        <v>141</v>
      </c>
      <c r="B102" s="44">
        <v>1997</v>
      </c>
      <c r="C102" s="44">
        <v>1998</v>
      </c>
      <c r="D102" s="44">
        <v>1999</v>
      </c>
      <c r="E102" s="44">
        <v>2000</v>
      </c>
      <c r="F102" s="44">
        <v>2001</v>
      </c>
      <c r="G102" s="44">
        <v>2002</v>
      </c>
      <c r="H102" s="109">
        <v>2003</v>
      </c>
      <c r="I102" s="109">
        <v>2004</v>
      </c>
      <c r="J102" s="109">
        <v>2005</v>
      </c>
      <c r="K102" s="110">
        <v>2006</v>
      </c>
      <c r="L102" s="109">
        <v>2007</v>
      </c>
      <c r="M102" s="111">
        <v>2008</v>
      </c>
      <c r="N102" s="109">
        <v>2009</v>
      </c>
      <c r="O102" s="109">
        <v>2010</v>
      </c>
      <c r="P102" s="111">
        <v>2011</v>
      </c>
      <c r="Q102" s="109">
        <v>2012</v>
      </c>
      <c r="R102" s="109">
        <v>2013</v>
      </c>
      <c r="S102" s="109">
        <v>2014</v>
      </c>
      <c r="T102" s="109">
        <v>2015</v>
      </c>
      <c r="U102" s="109">
        <v>2016</v>
      </c>
      <c r="V102" s="109">
        <v>2017</v>
      </c>
      <c r="W102" s="109">
        <v>2018</v>
      </c>
      <c r="X102" s="109">
        <v>2019</v>
      </c>
      <c r="Y102" s="109">
        <v>2020</v>
      </c>
      <c r="Z102" s="109">
        <v>2021</v>
      </c>
      <c r="AA102" s="109">
        <v>2022</v>
      </c>
      <c r="AB102" s="224" t="s">
        <v>119</v>
      </c>
      <c r="AC102" s="199" t="s">
        <v>120</v>
      </c>
    </row>
    <row r="103" spans="1:29" x14ac:dyDescent="0.2">
      <c r="A103" s="25" t="s">
        <v>122</v>
      </c>
      <c r="B103" s="6">
        <v>3389</v>
      </c>
      <c r="C103" s="6">
        <v>2871</v>
      </c>
      <c r="D103" s="6">
        <v>2809</v>
      </c>
      <c r="E103" s="6">
        <v>3105</v>
      </c>
      <c r="F103" s="6">
        <v>2665</v>
      </c>
      <c r="G103" s="6">
        <v>2469</v>
      </c>
      <c r="H103" s="6">
        <f>Germany!J23</f>
        <v>2383</v>
      </c>
      <c r="I103" s="58">
        <f>Germany!K23</f>
        <v>2221</v>
      </c>
      <c r="J103" s="6">
        <f>Germany!L23</f>
        <v>2929</v>
      </c>
      <c r="K103" s="25">
        <f>Germany!M23</f>
        <v>3707</v>
      </c>
      <c r="L103" s="25">
        <f>Germany!N23</f>
        <v>4047</v>
      </c>
      <c r="M103" s="25">
        <f>Germany!O23</f>
        <v>3460</v>
      </c>
      <c r="N103" s="25">
        <f>Germany!P23</f>
        <v>2487</v>
      </c>
      <c r="O103" s="25">
        <f>Germany!Q23</f>
        <v>1951</v>
      </c>
      <c r="P103" s="6">
        <f>Germany!R23</f>
        <v>1387</v>
      </c>
      <c r="Q103" s="119">
        <f>Germany!S23</f>
        <v>1500</v>
      </c>
      <c r="R103" s="119">
        <f>Germany!T23</f>
        <v>1812</v>
      </c>
      <c r="S103" s="119">
        <f>Germany!U23</f>
        <v>1495</v>
      </c>
      <c r="T103" s="119">
        <f>Germany!V23</f>
        <v>2025</v>
      </c>
      <c r="U103" s="119">
        <f>Germany!W23</f>
        <v>2205</v>
      </c>
      <c r="V103" s="119">
        <f>Germany!X23</f>
        <v>2115</v>
      </c>
      <c r="W103" s="119">
        <f>Germany!Y23</f>
        <v>2060</v>
      </c>
      <c r="X103" s="119">
        <f>Germany!Z23</f>
        <v>1884</v>
      </c>
      <c r="Y103" s="119">
        <f>Germany!AA23</f>
        <v>2051</v>
      </c>
      <c r="Z103" s="119">
        <f>Germany!AB23</f>
        <v>2306</v>
      </c>
      <c r="AA103" s="119">
        <f>Germany!AC23</f>
        <v>2414</v>
      </c>
      <c r="AB103" s="228">
        <f>Germany!AD23</f>
        <v>0</v>
      </c>
      <c r="AC103" s="100">
        <f>Z103/Y103-1</f>
        <v>0.12432959531935639</v>
      </c>
    </row>
    <row r="104" spans="1:29" x14ac:dyDescent="0.2">
      <c r="A104" s="25" t="s">
        <v>123</v>
      </c>
      <c r="B104" s="6">
        <v>1457</v>
      </c>
      <c r="C104" s="6">
        <v>1309</v>
      </c>
      <c r="D104" s="6">
        <v>1075</v>
      </c>
      <c r="E104" s="6">
        <v>1628</v>
      </c>
      <c r="F104" s="6">
        <v>1596</v>
      </c>
      <c r="G104" s="6">
        <v>1144</v>
      </c>
      <c r="H104" s="6">
        <f>Denmark!J22</f>
        <v>926</v>
      </c>
      <c r="I104" s="6">
        <f>Denmark!K22</f>
        <v>774</v>
      </c>
      <c r="J104" s="6">
        <f>Denmark!L22</f>
        <v>983</v>
      </c>
      <c r="K104" s="25">
        <f>Denmark!M22</f>
        <v>1138</v>
      </c>
      <c r="L104" s="25">
        <f>Denmark!N22</f>
        <v>1135</v>
      </c>
      <c r="M104" s="25">
        <f>Denmark!O22</f>
        <v>1291</v>
      </c>
      <c r="N104" s="25">
        <f>Denmark!P22</f>
        <v>936</v>
      </c>
      <c r="O104" s="25">
        <f>Denmark!Q22</f>
        <v>345</v>
      </c>
      <c r="P104" s="6">
        <f>Denmark!R22</f>
        <v>233</v>
      </c>
      <c r="Q104" s="119">
        <f>Denmark!S22</f>
        <v>257</v>
      </c>
      <c r="R104" s="119">
        <f>Denmark!T22</f>
        <v>263</v>
      </c>
      <c r="S104" s="119">
        <f>Denmark!U22</f>
        <v>225</v>
      </c>
      <c r="T104" s="119">
        <f>Denmark!V22</f>
        <v>676</v>
      </c>
      <c r="U104" s="119">
        <f>Denmark!W22</f>
        <v>514</v>
      </c>
      <c r="V104" s="119">
        <f>Denmark!X22</f>
        <v>414</v>
      </c>
      <c r="W104" s="119">
        <f>Denmark!Y22</f>
        <v>448</v>
      </c>
      <c r="X104" s="119">
        <f>Denmark!Z22</f>
        <v>210</v>
      </c>
      <c r="Y104" s="119">
        <f>Denmark!AA22</f>
        <v>731</v>
      </c>
      <c r="Z104" s="119">
        <f>Denmark!AB22</f>
        <v>1204</v>
      </c>
      <c r="AA104" s="119">
        <f>Denmark!AC22</f>
        <v>1334</v>
      </c>
      <c r="AB104" s="228">
        <f>Denmark!AD22</f>
        <v>0</v>
      </c>
      <c r="AC104" s="100">
        <f t="shared" ref="AC104:AC106" si="11">Z104/Y104-1</f>
        <v>0.64705882352941169</v>
      </c>
    </row>
    <row r="105" spans="1:29" x14ac:dyDescent="0.2">
      <c r="A105" s="7" t="s">
        <v>125</v>
      </c>
      <c r="B105" s="6">
        <v>1276</v>
      </c>
      <c r="C105" s="6">
        <v>1245</v>
      </c>
      <c r="D105" s="6">
        <v>1358</v>
      </c>
      <c r="E105" s="6">
        <v>1950</v>
      </c>
      <c r="F105" s="6">
        <v>2126</v>
      </c>
      <c r="G105" s="6">
        <v>2211</v>
      </c>
      <c r="H105" s="6">
        <f>Sweden!J22</f>
        <v>1851.5</v>
      </c>
      <c r="I105" s="6">
        <f>Sweden!K22</f>
        <v>1560</v>
      </c>
      <c r="J105" s="6">
        <f>Sweden!L22</f>
        <v>1774</v>
      </c>
      <c r="K105" s="25">
        <f>Sweden!M22</f>
        <v>2221</v>
      </c>
      <c r="L105" s="25">
        <f>Sweden!N22</f>
        <v>2009</v>
      </c>
      <c r="M105" s="25">
        <f>Sweden!O22</f>
        <v>1671</v>
      </c>
      <c r="N105" s="25">
        <f>Sweden!P22</f>
        <v>1521</v>
      </c>
      <c r="O105" s="25">
        <f>Sweden!Q22</f>
        <v>1466</v>
      </c>
      <c r="P105" s="6">
        <f>Sweden!R22</f>
        <v>1329</v>
      </c>
      <c r="Q105" s="119">
        <f>Sweden!S22</f>
        <v>1295</v>
      </c>
      <c r="R105" s="119">
        <f>Sweden!T22</f>
        <v>1423</v>
      </c>
      <c r="S105" s="119">
        <f>Sweden!U22</f>
        <v>1527</v>
      </c>
      <c r="T105" s="119">
        <f>Sweden!V22</f>
        <v>1757</v>
      </c>
      <c r="U105" s="119">
        <f>Sweden!W22</f>
        <v>2280.1999999999998</v>
      </c>
      <c r="V105" s="119">
        <f>Sweden!X22</f>
        <v>2346.9</v>
      </c>
      <c r="W105" s="119">
        <f>Sweden!Y22</f>
        <v>2239</v>
      </c>
      <c r="X105" s="119">
        <f>Sweden!Z22</f>
        <v>1768</v>
      </c>
      <c r="Y105" s="119">
        <f>Sweden!AA22</f>
        <v>1508</v>
      </c>
      <c r="Z105" s="119">
        <f>Sweden!AB22</f>
        <v>1908</v>
      </c>
      <c r="AA105" s="119">
        <f>Sweden!AC22</f>
        <v>1889</v>
      </c>
      <c r="AB105" s="228">
        <f>Sweden!AD22</f>
        <v>1924</v>
      </c>
      <c r="AC105" s="100">
        <f t="shared" si="11"/>
        <v>0.26525198938992034</v>
      </c>
    </row>
    <row r="106" spans="1:29" x14ac:dyDescent="0.2">
      <c r="A106" s="7" t="s">
        <v>127</v>
      </c>
      <c r="B106" s="6">
        <v>1012</v>
      </c>
      <c r="C106" s="6">
        <v>1331</v>
      </c>
      <c r="D106" s="6">
        <v>1541</v>
      </c>
      <c r="E106" s="6">
        <v>1392</v>
      </c>
      <c r="F106" s="6">
        <v>1649</v>
      </c>
      <c r="G106" s="6">
        <v>1668</v>
      </c>
      <c r="H106" s="6">
        <f>Finland!J22</f>
        <v>1700</v>
      </c>
      <c r="I106" s="6">
        <f>Finland!K22</f>
        <v>1600</v>
      </c>
      <c r="J106" s="5">
        <f>Finland!L22</f>
        <v>1600</v>
      </c>
      <c r="K106" s="7">
        <f>Finland!M22</f>
        <v>1600</v>
      </c>
      <c r="L106" s="7">
        <f>Finland!N22</f>
        <v>1580</v>
      </c>
      <c r="M106" s="7">
        <f>Finland!O22</f>
        <v>1475</v>
      </c>
      <c r="N106" s="7">
        <f>Finland!P22</f>
        <v>1342</v>
      </c>
      <c r="O106" s="7">
        <f>Finland!Q22</f>
        <v>1307</v>
      </c>
      <c r="P106" s="5">
        <f>Finland!R22</f>
        <v>1169</v>
      </c>
      <c r="Q106" s="123">
        <f>Finland!S22</f>
        <v>1105</v>
      </c>
      <c r="R106" s="124">
        <f>Finland!T22</f>
        <v>1098.02</v>
      </c>
      <c r="S106" s="124">
        <f>Finland!U22</f>
        <v>1113</v>
      </c>
      <c r="T106" s="124">
        <f>Finland!V22</f>
        <v>1258</v>
      </c>
      <c r="U106" s="124">
        <f>Finland!W22</f>
        <v>1569</v>
      </c>
      <c r="V106" s="124">
        <f>Finland!X22</f>
        <v>1617</v>
      </c>
      <c r="W106" s="124">
        <f>Finland!Y22</f>
        <v>1760</v>
      </c>
      <c r="X106" s="124">
        <f>Finland!Z22</f>
        <v>1733</v>
      </c>
      <c r="Y106" s="124">
        <f>Finland!AA22</f>
        <v>1678</v>
      </c>
      <c r="Z106" s="124">
        <f>Finland!AB22</f>
        <v>1305</v>
      </c>
      <c r="AA106" s="124">
        <f>Finland!AC22</f>
        <v>1975</v>
      </c>
      <c r="AB106" s="229">
        <f>Finland!AD22</f>
        <v>1889</v>
      </c>
      <c r="AC106" s="100">
        <f t="shared" si="11"/>
        <v>-0.22228843861740166</v>
      </c>
    </row>
    <row r="107" spans="1:29" x14ac:dyDescent="0.2">
      <c r="A107" t="s">
        <v>138</v>
      </c>
      <c r="W107" s="176">
        <f>'Pays-Bas'!Y22</f>
        <v>16</v>
      </c>
      <c r="X107" s="176">
        <f>'Pays-Bas'!Z22</f>
        <v>4</v>
      </c>
      <c r="Z107" s="146"/>
      <c r="AC107" s="176"/>
    </row>
    <row r="108" spans="1:29" x14ac:dyDescent="0.2">
      <c r="Z108" s="146"/>
      <c r="AC108" s="176"/>
    </row>
    <row r="109" spans="1:29" ht="15.75" x14ac:dyDescent="0.25">
      <c r="A109" s="154" t="s">
        <v>142</v>
      </c>
      <c r="B109" s="44">
        <v>1997</v>
      </c>
      <c r="C109" s="44">
        <v>1998</v>
      </c>
      <c r="D109" s="44">
        <v>1999</v>
      </c>
      <c r="E109" s="44">
        <v>2000</v>
      </c>
      <c r="F109" s="44">
        <v>2001</v>
      </c>
      <c r="G109" s="44">
        <v>2002</v>
      </c>
      <c r="H109" s="109">
        <v>2003</v>
      </c>
      <c r="I109" s="109">
        <v>2004</v>
      </c>
      <c r="J109" s="109">
        <v>2005</v>
      </c>
      <c r="K109" s="109">
        <v>2006</v>
      </c>
      <c r="L109" s="109">
        <v>2007</v>
      </c>
      <c r="M109" s="109">
        <v>2008</v>
      </c>
      <c r="N109" s="109">
        <v>2009</v>
      </c>
      <c r="O109" s="109">
        <v>2010</v>
      </c>
      <c r="P109" s="111">
        <v>2011</v>
      </c>
      <c r="Q109" s="109">
        <v>2012</v>
      </c>
      <c r="R109" s="109">
        <v>2013</v>
      </c>
      <c r="S109" s="109">
        <v>2014</v>
      </c>
      <c r="T109" s="109">
        <v>2015</v>
      </c>
      <c r="U109" s="109">
        <v>2016</v>
      </c>
      <c r="V109" s="109">
        <v>2017</v>
      </c>
      <c r="W109" s="109">
        <v>2018</v>
      </c>
      <c r="X109" s="109">
        <v>2019</v>
      </c>
      <c r="Y109" s="109">
        <v>2020</v>
      </c>
      <c r="Z109" s="109">
        <v>2021</v>
      </c>
      <c r="AA109" s="109">
        <v>2022</v>
      </c>
      <c r="AB109" s="224" t="s">
        <v>119</v>
      </c>
      <c r="AC109" s="199" t="s">
        <v>120</v>
      </c>
    </row>
    <row r="110" spans="1:29" x14ac:dyDescent="0.2">
      <c r="A110" s="6" t="s">
        <v>123</v>
      </c>
      <c r="B110" s="6">
        <v>222</v>
      </c>
      <c r="C110" s="6">
        <v>730</v>
      </c>
      <c r="D110" s="6">
        <v>988</v>
      </c>
      <c r="E110" s="6">
        <v>1813</v>
      </c>
      <c r="F110" s="6">
        <v>2123</v>
      </c>
      <c r="G110" s="6">
        <v>2408</v>
      </c>
      <c r="H110" s="6">
        <f>Denmark!J23</f>
        <v>2864</v>
      </c>
      <c r="I110" s="6">
        <f>Denmark!K23</f>
        <v>3292</v>
      </c>
      <c r="J110" s="6">
        <f>Denmark!L23</f>
        <v>2747</v>
      </c>
      <c r="K110" s="6">
        <f>Denmark!M23</f>
        <v>2869</v>
      </c>
      <c r="L110" s="6">
        <f>Denmark!N23</f>
        <v>3932</v>
      </c>
      <c r="M110" s="6">
        <f>Denmark!O23</f>
        <v>5056</v>
      </c>
      <c r="N110" s="6">
        <f>Denmark!P23</f>
        <v>6167</v>
      </c>
      <c r="O110" s="6">
        <f>Denmark!Q23</f>
        <v>2865</v>
      </c>
      <c r="P110" s="6">
        <f>Denmark!R23</f>
        <v>1356</v>
      </c>
      <c r="Q110" s="119">
        <f>Denmark!S23</f>
        <v>2494</v>
      </c>
      <c r="R110" s="119">
        <f>Denmark!T23</f>
        <v>3792</v>
      </c>
      <c r="S110" s="119">
        <f>Denmark!U23</f>
        <v>4232</v>
      </c>
      <c r="T110" s="119">
        <f>Denmark!V23</f>
        <v>4386</v>
      </c>
      <c r="U110" s="119">
        <f>Denmark!W23</f>
        <v>3676</v>
      </c>
      <c r="V110" s="119">
        <f>Denmark!X23</f>
        <v>5911</v>
      </c>
      <c r="W110" s="119">
        <f>Denmark!Y23</f>
        <v>7700</v>
      </c>
      <c r="X110" s="119">
        <f>Denmark!Z23</f>
        <v>7255</v>
      </c>
      <c r="Y110" s="119">
        <f>Denmark!AA23</f>
        <v>6971</v>
      </c>
      <c r="Z110" s="119">
        <f>Denmark!AB23</f>
        <v>6562</v>
      </c>
      <c r="AA110" s="119">
        <f>Denmark!AC23</f>
        <v>6959</v>
      </c>
      <c r="AB110" s="228">
        <f>Denmark!AD23</f>
        <v>0</v>
      </c>
      <c r="AC110" s="100">
        <f>Z110/Y110-1</f>
        <v>-5.8671639649978458E-2</v>
      </c>
    </row>
    <row r="111" spans="1:29" x14ac:dyDescent="0.2">
      <c r="A111" s="53" t="s">
        <v>7</v>
      </c>
      <c r="B111" s="52">
        <v>2407</v>
      </c>
      <c r="C111" s="52">
        <v>3088</v>
      </c>
      <c r="D111" s="52">
        <v>2407</v>
      </c>
      <c r="E111" s="52">
        <f>1837+1988</f>
        <v>3825</v>
      </c>
      <c r="F111" s="52">
        <f>1829+1476</f>
        <v>3305</v>
      </c>
      <c r="G111" s="52">
        <f>1254+2182</f>
        <v>3436</v>
      </c>
      <c r="H111" s="52">
        <f>France!J24</f>
        <v>4122</v>
      </c>
      <c r="I111" s="52">
        <f>France!K24</f>
        <v>4141</v>
      </c>
      <c r="J111" s="52">
        <f>France!L24</f>
        <v>4336</v>
      </c>
      <c r="K111" s="52">
        <f>France!M24</f>
        <v>4336</v>
      </c>
      <c r="L111" s="52">
        <f>France!N24</f>
        <v>4171</v>
      </c>
      <c r="M111" s="52">
        <f>France!O24</f>
        <v>3886</v>
      </c>
      <c r="N111" s="121">
        <f>France!P24</f>
        <v>3970</v>
      </c>
      <c r="O111" s="52">
        <f>France!Q24</f>
        <v>3121</v>
      </c>
      <c r="P111" s="52">
        <f>France!R24</f>
        <v>2560</v>
      </c>
      <c r="Q111" s="121">
        <f>France!S24</f>
        <v>2432</v>
      </c>
      <c r="R111" s="121">
        <f>France!T24</f>
        <v>2150</v>
      </c>
      <c r="S111" s="121">
        <f>France!U24</f>
        <v>1964</v>
      </c>
      <c r="T111" s="121">
        <f>France!V24</f>
        <v>1996</v>
      </c>
      <c r="U111" s="121">
        <f>France!W24</f>
        <v>1875</v>
      </c>
      <c r="V111" s="121">
        <f>France!X24</f>
        <v>2325</v>
      </c>
      <c r="W111" s="121">
        <f>France!Y24</f>
        <v>2478</v>
      </c>
      <c r="X111" s="121">
        <f>France!Z24</f>
        <v>2649</v>
      </c>
      <c r="Y111" s="121">
        <f>France!AA24</f>
        <v>2677</v>
      </c>
      <c r="Z111" s="121">
        <f>France!AB24</f>
        <v>2585</v>
      </c>
      <c r="AA111" s="121">
        <f>France!AC24</f>
        <v>2637</v>
      </c>
      <c r="AB111" s="227">
        <f>France!AD24</f>
        <v>2232</v>
      </c>
      <c r="AC111" s="100">
        <f t="shared" ref="AC111:AC114" si="12">Z111/Y111-1</f>
        <v>-3.4366828539409755E-2</v>
      </c>
    </row>
    <row r="112" spans="1:29" x14ac:dyDescent="0.2">
      <c r="A112" s="5" t="s">
        <v>138</v>
      </c>
      <c r="B112" s="6">
        <v>763</v>
      </c>
      <c r="C112" s="6">
        <v>1001</v>
      </c>
      <c r="D112" s="6">
        <v>713</v>
      </c>
      <c r="E112" s="6">
        <v>1102</v>
      </c>
      <c r="F112" s="6">
        <v>1540</v>
      </c>
      <c r="G112" s="6">
        <v>1900</v>
      </c>
      <c r="H112" s="6">
        <f>'Pays-Bas'!J23</f>
        <v>1935</v>
      </c>
      <c r="I112" s="6">
        <f>'Pays-Bas'!K23</f>
        <v>1957</v>
      </c>
      <c r="J112" s="5">
        <f>'Pays-Bas'!L23</f>
        <v>1910</v>
      </c>
      <c r="K112" s="6">
        <f>'Pays-Bas'!M23</f>
        <v>1700</v>
      </c>
      <c r="L112" s="6">
        <f>'Pays-Bas'!N23</f>
        <v>1729</v>
      </c>
      <c r="M112" s="6">
        <f>'Pays-Bas'!O23</f>
        <v>1721</v>
      </c>
      <c r="N112" s="119">
        <f>'Pays-Bas'!P23</f>
        <v>2278</v>
      </c>
      <c r="O112" s="6">
        <f>'Pays-Bas'!Q23</f>
        <v>1247</v>
      </c>
      <c r="P112" s="6">
        <f>'Pays-Bas'!R23</f>
        <v>634</v>
      </c>
      <c r="Q112" s="119">
        <f>'Pays-Bas'!S23</f>
        <v>768</v>
      </c>
      <c r="R112" s="119">
        <f>'Pays-Bas'!T23</f>
        <v>972</v>
      </c>
      <c r="S112" s="119">
        <f>'Pays-Bas'!U23</f>
        <v>1129</v>
      </c>
      <c r="T112" s="119">
        <f>'Pays-Bas'!V23</f>
        <v>1315</v>
      </c>
      <c r="U112" s="119">
        <f>'Pays-Bas'!W23</f>
        <v>956</v>
      </c>
      <c r="V112" s="119"/>
      <c r="W112" s="119">
        <f>'Pays-Bas'!Y23</f>
        <v>1327</v>
      </c>
      <c r="X112" s="119">
        <f>'Pays-Bas'!Z23</f>
        <v>1630</v>
      </c>
      <c r="Y112" s="119"/>
      <c r="Z112" s="119"/>
      <c r="AA112" s="119"/>
      <c r="AB112" s="228"/>
      <c r="AC112" s="100" t="e">
        <f t="shared" si="12"/>
        <v>#DIV/0!</v>
      </c>
    </row>
    <row r="113" spans="1:29" x14ac:dyDescent="0.2">
      <c r="A113" s="5" t="s">
        <v>125</v>
      </c>
      <c r="B113" s="5"/>
      <c r="C113" s="5"/>
      <c r="D113" s="5"/>
      <c r="E113" s="5"/>
      <c r="F113" s="5"/>
      <c r="G113" s="5"/>
      <c r="H113" s="5"/>
      <c r="I113" s="5"/>
      <c r="J113" s="5"/>
      <c r="K113" s="5">
        <f>+Sweden!M23</f>
        <v>73</v>
      </c>
      <c r="L113" s="5">
        <f>+Sweden!N23</f>
        <v>9</v>
      </c>
      <c r="M113" s="5">
        <f>+Sweden!O23</f>
        <v>335</v>
      </c>
      <c r="N113" s="5">
        <f>+Sweden!P23</f>
        <v>473</v>
      </c>
      <c r="O113" s="5">
        <f>+Sweden!Q23</f>
        <v>619</v>
      </c>
      <c r="P113" s="5">
        <f>Sweden!R23</f>
        <v>757</v>
      </c>
      <c r="Q113" s="123">
        <f>Sweden!S23</f>
        <v>811</v>
      </c>
      <c r="R113" s="123">
        <f>Sweden!T23</f>
        <v>755</v>
      </c>
      <c r="S113" s="123">
        <f>Sweden!U23</f>
        <v>583</v>
      </c>
      <c r="T113" s="123">
        <f>Sweden!V23</f>
        <v>666</v>
      </c>
      <c r="U113" s="123">
        <f>Sweden!W23</f>
        <v>861.8</v>
      </c>
      <c r="V113" s="123">
        <f>Sweden!X23</f>
        <v>805.8</v>
      </c>
      <c r="W113" s="123">
        <f>Sweden!Y23</f>
        <v>1181</v>
      </c>
      <c r="X113" s="123">
        <f>Sweden!Z23</f>
        <v>1169</v>
      </c>
      <c r="Y113" s="123">
        <f>Sweden!AA23</f>
        <v>1713</v>
      </c>
      <c r="Z113" s="123">
        <f>Sweden!AB23</f>
        <v>2158</v>
      </c>
      <c r="AA113" s="123">
        <f>Sweden!AC23</f>
        <v>2325</v>
      </c>
      <c r="AB113" s="232">
        <f>Sweden!AD23</f>
        <v>2057</v>
      </c>
      <c r="AC113" s="100">
        <f t="shared" si="12"/>
        <v>0.25977816695855216</v>
      </c>
    </row>
    <row r="114" spans="1:29" x14ac:dyDescent="0.2">
      <c r="A114" s="5" t="s">
        <v>127</v>
      </c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>
        <f>+Finland!N23</f>
        <v>130</v>
      </c>
      <c r="M114" s="5">
        <f>+Finland!O23</f>
        <v>123</v>
      </c>
      <c r="N114" s="5">
        <f>+Finland!P23</f>
        <v>126</v>
      </c>
      <c r="O114" s="5">
        <f>+Finland!Q23</f>
        <v>136</v>
      </c>
      <c r="P114" s="5">
        <f>+Finland!R23</f>
        <v>194</v>
      </c>
      <c r="Q114" s="123">
        <f>+Finland!S23</f>
        <v>108</v>
      </c>
      <c r="R114" s="123">
        <f>+Finland!T23</f>
        <v>207.48999999999998</v>
      </c>
      <c r="S114" s="123">
        <f>+Finland!U23</f>
        <v>147</v>
      </c>
      <c r="T114" s="123">
        <f>+Finland!V23</f>
        <v>151</v>
      </c>
      <c r="U114" s="123">
        <f>+Finland!W23</f>
        <v>129</v>
      </c>
      <c r="V114" s="123">
        <f>+Finland!X23</f>
        <v>139</v>
      </c>
      <c r="W114" s="123">
        <f>+Finland!Y23</f>
        <v>65</v>
      </c>
      <c r="X114" s="123">
        <f>+Finland!Z23</f>
        <v>129</v>
      </c>
      <c r="Y114" s="123">
        <f>+Finland!AA23</f>
        <v>199</v>
      </c>
      <c r="Z114" s="123">
        <f>+Finland!AB23</f>
        <v>151</v>
      </c>
      <c r="AA114" s="123">
        <f>+Finland!AC23</f>
        <v>361</v>
      </c>
      <c r="AB114" s="232">
        <f>+Finland!AD23</f>
        <v>308</v>
      </c>
      <c r="AC114" s="100">
        <f t="shared" si="12"/>
        <v>-0.24120603015075381</v>
      </c>
    </row>
    <row r="115" spans="1:29" x14ac:dyDescent="0.2">
      <c r="Z115" s="146"/>
      <c r="AC115" s="176"/>
    </row>
    <row r="116" spans="1:29" ht="15.75" x14ac:dyDescent="0.25">
      <c r="A116" s="153" t="s">
        <v>143</v>
      </c>
      <c r="B116" s="44">
        <v>1997</v>
      </c>
      <c r="C116" s="44">
        <v>1998</v>
      </c>
      <c r="D116" s="44">
        <v>1999</v>
      </c>
      <c r="E116" s="44">
        <v>2000</v>
      </c>
      <c r="F116" s="44">
        <v>2001</v>
      </c>
      <c r="G116" s="44">
        <v>2002</v>
      </c>
      <c r="H116" s="109">
        <v>2003</v>
      </c>
      <c r="I116" s="109">
        <v>2004</v>
      </c>
      <c r="J116" s="109">
        <v>2005</v>
      </c>
      <c r="K116" s="110">
        <v>2006</v>
      </c>
      <c r="L116" s="109">
        <v>2007</v>
      </c>
      <c r="M116" s="111">
        <v>2008</v>
      </c>
      <c r="N116" s="109">
        <v>2009</v>
      </c>
      <c r="O116" s="111">
        <v>2010</v>
      </c>
      <c r="P116" s="109">
        <v>2011</v>
      </c>
      <c r="Q116" s="111">
        <v>2012</v>
      </c>
      <c r="R116" s="109">
        <v>2013</v>
      </c>
      <c r="S116" s="109">
        <v>2014</v>
      </c>
      <c r="T116" s="109">
        <v>2015</v>
      </c>
      <c r="U116" s="109">
        <v>2016</v>
      </c>
      <c r="V116" s="109">
        <v>2017</v>
      </c>
      <c r="W116" s="109">
        <v>2018</v>
      </c>
      <c r="X116" s="109">
        <v>2019</v>
      </c>
      <c r="Y116" s="109">
        <v>2020</v>
      </c>
      <c r="Z116" s="109">
        <v>2021</v>
      </c>
      <c r="AA116" s="109">
        <v>2022</v>
      </c>
      <c r="AB116" s="224" t="s">
        <v>119</v>
      </c>
      <c r="AC116" s="199" t="s">
        <v>120</v>
      </c>
    </row>
    <row r="117" spans="1:29" x14ac:dyDescent="0.2">
      <c r="A117" s="25" t="s">
        <v>122</v>
      </c>
      <c r="B117" s="6">
        <v>661</v>
      </c>
      <c r="C117" s="6">
        <v>1369</v>
      </c>
      <c r="D117" s="6">
        <v>1523</v>
      </c>
      <c r="E117" s="6">
        <v>1907</v>
      </c>
      <c r="F117" s="6">
        <v>2128</v>
      </c>
      <c r="G117" s="6">
        <v>1860</v>
      </c>
      <c r="H117" s="6">
        <f>Germany!J22</f>
        <v>537</v>
      </c>
      <c r="I117" s="58">
        <f>Germany!K22</f>
        <v>974</v>
      </c>
      <c r="J117" s="6">
        <f>Germany!L22</f>
        <v>1408</v>
      </c>
      <c r="K117" s="25">
        <f>Germany!M22</f>
        <v>1672</v>
      </c>
      <c r="L117" s="25">
        <f>Germany!N22</f>
        <v>1366</v>
      </c>
      <c r="M117" s="25">
        <f>Germany!O22</f>
        <v>1727</v>
      </c>
      <c r="N117" s="25">
        <f>Germany!P22</f>
        <v>1662</v>
      </c>
      <c r="O117" s="25">
        <f>Germany!Q22</f>
        <v>1618</v>
      </c>
      <c r="P117" s="6">
        <f>Germany!R22</f>
        <v>1727</v>
      </c>
      <c r="Q117" s="119">
        <f>Germany!S22</f>
        <v>1448</v>
      </c>
      <c r="R117" s="119">
        <f>Germany!T22</f>
        <v>1469</v>
      </c>
      <c r="S117" s="119">
        <f>Germany!U22</f>
        <v>1387</v>
      </c>
      <c r="T117" s="119">
        <f>Germany!V22</f>
        <v>1346</v>
      </c>
      <c r="U117" s="119">
        <f>Germany!W22</f>
        <v>1494</v>
      </c>
      <c r="V117" s="119">
        <f>Germany!X22</f>
        <v>1423</v>
      </c>
      <c r="W117" s="119">
        <f>Germany!Y22</f>
        <v>1413</v>
      </c>
      <c r="X117" s="119">
        <f>Germany!Z22</f>
        <v>1309</v>
      </c>
      <c r="Y117" s="119">
        <f>Germany!AA22</f>
        <v>1481</v>
      </c>
      <c r="Z117" s="119">
        <f>Germany!AB22</f>
        <v>1426</v>
      </c>
      <c r="AA117" s="119">
        <f>Germany!AC22</f>
        <v>1340</v>
      </c>
      <c r="AB117" s="228">
        <f>Germany!AD22</f>
        <v>0</v>
      </c>
      <c r="AC117" s="100">
        <f>Z117/Y117-1</f>
        <v>-3.7137069547602986E-2</v>
      </c>
    </row>
    <row r="118" spans="1:29" x14ac:dyDescent="0.2">
      <c r="A118" s="25" t="s">
        <v>123</v>
      </c>
      <c r="B118" s="6">
        <v>392</v>
      </c>
      <c r="C118" s="6">
        <v>602</v>
      </c>
      <c r="D118" s="6">
        <v>1115</v>
      </c>
      <c r="E118" s="6">
        <v>1795</v>
      </c>
      <c r="F118" s="6">
        <v>1906</v>
      </c>
      <c r="G118" s="6">
        <v>1049</v>
      </c>
      <c r="H118" s="6">
        <f>Denmark!J21</f>
        <v>664</v>
      </c>
      <c r="I118" s="6">
        <f>Denmark!K21</f>
        <v>908</v>
      </c>
      <c r="J118" s="6">
        <f>Denmark!L21</f>
        <v>1023</v>
      </c>
      <c r="K118" s="25">
        <f>Denmark!M21</f>
        <v>1398</v>
      </c>
      <c r="L118" s="25">
        <f>Denmark!N21</f>
        <v>1332</v>
      </c>
      <c r="M118" s="25">
        <f>Denmark!O21</f>
        <v>1161</v>
      </c>
      <c r="N118" s="25">
        <f>Denmark!P21</f>
        <v>1302</v>
      </c>
      <c r="O118" s="25">
        <f>Denmark!Q21</f>
        <v>1214</v>
      </c>
      <c r="P118" s="6">
        <f>Denmark!R21</f>
        <v>1000</v>
      </c>
      <c r="Q118" s="119">
        <f>Denmark!S21</f>
        <v>784</v>
      </c>
      <c r="R118" s="119">
        <f>Denmark!T21</f>
        <v>774</v>
      </c>
      <c r="S118" s="119">
        <f>Denmark!U21</f>
        <v>697</v>
      </c>
      <c r="T118" s="119">
        <f>Denmark!V21</f>
        <v>761</v>
      </c>
      <c r="U118" s="119">
        <f>Denmark!W21</f>
        <v>786</v>
      </c>
      <c r="V118" s="119">
        <f>Denmark!X21</f>
        <v>979</v>
      </c>
      <c r="W118" s="119">
        <f>Denmark!Y21</f>
        <v>1402</v>
      </c>
      <c r="X118" s="119">
        <f>Denmark!Z21</f>
        <v>990</v>
      </c>
      <c r="Y118" s="119">
        <f>Denmark!AA21</f>
        <v>713</v>
      </c>
      <c r="Z118" s="119">
        <f>Denmark!AB21</f>
        <v>780</v>
      </c>
      <c r="AA118" s="119">
        <f>Denmark!AC21</f>
        <v>1018</v>
      </c>
      <c r="AB118" s="228">
        <f>Denmark!AD21</f>
        <v>0</v>
      </c>
      <c r="AC118" s="100">
        <f t="shared" ref="AC118:AC120" si="13">Z118/Y118-1</f>
        <v>9.3969144460028131E-2</v>
      </c>
    </row>
    <row r="119" spans="1:29" x14ac:dyDescent="0.2">
      <c r="A119" s="49" t="s">
        <v>7</v>
      </c>
      <c r="B119" s="52">
        <v>127</v>
      </c>
      <c r="C119" s="52">
        <v>182</v>
      </c>
      <c r="D119" s="52">
        <v>273</v>
      </c>
      <c r="E119" s="52">
        <v>347</v>
      </c>
      <c r="F119" s="52">
        <v>415</v>
      </c>
      <c r="G119" s="52">
        <v>197</v>
      </c>
      <c r="H119" s="52">
        <f>France!J22</f>
        <v>197</v>
      </c>
      <c r="I119" s="52">
        <f>France!K22</f>
        <v>103</v>
      </c>
      <c r="J119" s="52">
        <f>France!L22</f>
        <v>107</v>
      </c>
      <c r="K119" s="67">
        <f>France!M22</f>
        <v>83</v>
      </c>
      <c r="L119" s="67">
        <f>France!N22</f>
        <v>83</v>
      </c>
      <c r="M119" s="67">
        <f>France!O22</f>
        <v>114</v>
      </c>
      <c r="N119" s="67">
        <f>France!P22</f>
        <v>52</v>
      </c>
      <c r="O119" s="67">
        <f>France!Q22</f>
        <v>32</v>
      </c>
      <c r="P119" s="67">
        <f>France!R22</f>
        <v>64</v>
      </c>
      <c r="Q119" s="121">
        <f>France!S22</f>
        <v>49</v>
      </c>
      <c r="R119" s="121">
        <f>France!T22</f>
        <v>20</v>
      </c>
      <c r="S119" s="121">
        <f>France!U22</f>
        <v>0</v>
      </c>
      <c r="T119" s="121">
        <f>France!V22</f>
        <v>0</v>
      </c>
      <c r="U119" s="121">
        <f>France!W22</f>
        <v>0</v>
      </c>
      <c r="V119" s="121">
        <f>France!X22</f>
        <v>0</v>
      </c>
      <c r="W119" s="121">
        <f>France!Y22</f>
        <v>0</v>
      </c>
      <c r="X119" s="121">
        <f>France!Z22</f>
        <v>0</v>
      </c>
      <c r="Y119" s="121">
        <f>France!AA22</f>
        <v>0</v>
      </c>
      <c r="Z119" s="121">
        <f>France!AB22</f>
        <v>0</v>
      </c>
      <c r="AA119" s="121">
        <f>France!AC22</f>
        <v>0</v>
      </c>
      <c r="AB119" s="121">
        <f>France!AD22</f>
        <v>0</v>
      </c>
      <c r="AC119" s="100" t="e">
        <f t="shared" si="13"/>
        <v>#DIV/0!</v>
      </c>
    </row>
    <row r="120" spans="1:29" x14ac:dyDescent="0.2">
      <c r="A120" s="7" t="s">
        <v>138</v>
      </c>
      <c r="B120" s="6">
        <v>63</v>
      </c>
      <c r="C120" s="6">
        <v>148</v>
      </c>
      <c r="D120" s="6">
        <v>322</v>
      </c>
      <c r="E120" s="6">
        <v>386</v>
      </c>
      <c r="F120" s="6">
        <v>277</v>
      </c>
      <c r="G120" s="6">
        <v>153</v>
      </c>
      <c r="H120" s="6">
        <f>'Pays-Bas'!J21</f>
        <v>189</v>
      </c>
      <c r="I120" s="5">
        <f>'Pays-Bas'!K21</f>
        <v>139</v>
      </c>
      <c r="J120" s="5">
        <f>'Pays-Bas'!L21</f>
        <v>183</v>
      </c>
      <c r="K120" s="7">
        <f>'Pays-Bas'!M21</f>
        <v>225</v>
      </c>
      <c r="L120" s="7">
        <f>'Pays-Bas'!N21</f>
        <v>291</v>
      </c>
      <c r="M120" s="7">
        <f>'Pays-Bas'!O21</f>
        <v>113</v>
      </c>
      <c r="N120" s="7">
        <f>'Pays-Bas'!P21</f>
        <v>49</v>
      </c>
      <c r="O120" s="7">
        <f>'Pays-Bas'!Q21</f>
        <v>88</v>
      </c>
      <c r="P120" s="5">
        <f>'Pays-Bas'!R21</f>
        <v>63</v>
      </c>
      <c r="Q120" s="123">
        <f>'Pays-Bas'!S21</f>
        <v>35</v>
      </c>
      <c r="R120" s="123">
        <f>'Pays-Bas'!T21</f>
        <v>22</v>
      </c>
      <c r="S120" s="123"/>
      <c r="T120" s="123"/>
      <c r="U120" s="123"/>
      <c r="V120" s="123"/>
      <c r="W120" s="123"/>
      <c r="X120" s="123"/>
      <c r="Y120" s="123"/>
      <c r="Z120" s="123"/>
      <c r="AA120" s="123"/>
      <c r="AB120" s="232"/>
      <c r="AC120" s="100" t="e">
        <f t="shared" si="13"/>
        <v>#DIV/0!</v>
      </c>
    </row>
    <row r="121" spans="1:29" x14ac:dyDescent="0.2">
      <c r="Z121" s="146"/>
      <c r="AC121" s="176"/>
    </row>
    <row r="122" spans="1:29" x14ac:dyDescent="0.2">
      <c r="Z122" s="146"/>
      <c r="AC122" s="176"/>
    </row>
    <row r="123" spans="1:29" ht="15.75" x14ac:dyDescent="0.25">
      <c r="A123" s="153" t="s">
        <v>144</v>
      </c>
      <c r="B123" s="44">
        <v>1997</v>
      </c>
      <c r="C123" s="44">
        <v>1998</v>
      </c>
      <c r="D123" s="44">
        <v>1999</v>
      </c>
      <c r="E123" s="44">
        <v>2000</v>
      </c>
      <c r="F123" s="44">
        <v>2001</v>
      </c>
      <c r="G123" s="44">
        <v>2002</v>
      </c>
      <c r="H123" s="109">
        <v>2003</v>
      </c>
      <c r="I123" s="109">
        <v>2004</v>
      </c>
      <c r="J123" s="109">
        <v>2005</v>
      </c>
      <c r="K123" s="110">
        <v>2006</v>
      </c>
      <c r="L123" s="109">
        <v>2007</v>
      </c>
      <c r="M123" s="111">
        <v>2008</v>
      </c>
      <c r="N123" s="109">
        <v>2009</v>
      </c>
      <c r="O123" s="109">
        <v>2010</v>
      </c>
      <c r="P123" s="111">
        <v>2011</v>
      </c>
      <c r="Q123" s="109">
        <v>2012</v>
      </c>
      <c r="R123" s="109">
        <v>2013</v>
      </c>
      <c r="S123" s="109">
        <v>2014</v>
      </c>
      <c r="T123" s="109">
        <v>2015</v>
      </c>
      <c r="U123" s="109">
        <v>2016</v>
      </c>
      <c r="V123" s="109">
        <v>2017</v>
      </c>
      <c r="W123" s="109">
        <v>2018</v>
      </c>
      <c r="X123" s="109">
        <v>2019</v>
      </c>
      <c r="Y123" s="109">
        <v>2020</v>
      </c>
      <c r="Z123" s="109">
        <v>2021</v>
      </c>
      <c r="AA123" s="109">
        <v>2022</v>
      </c>
      <c r="AB123" s="224" t="s">
        <v>119</v>
      </c>
      <c r="AC123" s="199" t="s">
        <v>120</v>
      </c>
    </row>
    <row r="124" spans="1:29" x14ac:dyDescent="0.2">
      <c r="A124" s="25" t="s">
        <v>121</v>
      </c>
      <c r="B124" s="6">
        <v>1160</v>
      </c>
      <c r="C124" s="6">
        <v>1475</v>
      </c>
      <c r="D124" s="6">
        <v>1333</v>
      </c>
      <c r="E124" s="6">
        <v>898</v>
      </c>
      <c r="F124" s="6">
        <v>589</v>
      </c>
      <c r="G124" s="6">
        <v>352</v>
      </c>
      <c r="H124" s="6">
        <f>Belgium!J24</f>
        <v>653</v>
      </c>
      <c r="I124" s="6">
        <f>Belgium!K24</f>
        <v>1026</v>
      </c>
      <c r="J124" s="119">
        <f>Belgium!L24</f>
        <v>1095</v>
      </c>
      <c r="K124" s="120">
        <f>Belgium!M24</f>
        <v>811</v>
      </c>
      <c r="L124" s="120">
        <f>Belgium!N24</f>
        <v>694</v>
      </c>
      <c r="M124" s="120">
        <f>Belgium!O24</f>
        <v>573</v>
      </c>
      <c r="N124" s="120">
        <f>Belgium!P24</f>
        <v>663</v>
      </c>
      <c r="O124" s="120">
        <f>Belgium!Q24</f>
        <v>555</v>
      </c>
      <c r="P124" s="119">
        <f>Belgium!R24</f>
        <v>472</v>
      </c>
      <c r="Q124" s="119">
        <f>Belgium!S24</f>
        <v>549.70000000000005</v>
      </c>
      <c r="R124" s="119">
        <f>Belgium!T24</f>
        <v>453.11</v>
      </c>
      <c r="S124" s="119">
        <f>Belgium!U24</f>
        <v>378</v>
      </c>
      <c r="T124" s="119">
        <f>Belgium!V24</f>
        <v>404</v>
      </c>
      <c r="U124" s="119">
        <f>Belgium!W24</f>
        <v>358</v>
      </c>
      <c r="V124" s="119">
        <f>Belgium!X24</f>
        <v>358</v>
      </c>
      <c r="W124" s="119">
        <f>Belgium!Y24</f>
        <v>410</v>
      </c>
      <c r="X124" s="119">
        <f>Belgium!Z24</f>
        <v>455</v>
      </c>
      <c r="Y124" s="119">
        <f>Belgium!AA24</f>
        <v>517</v>
      </c>
      <c r="Z124" s="119">
        <f>Belgium!AB24</f>
        <v>532</v>
      </c>
      <c r="AA124" s="119">
        <f>Belgium!AC24</f>
        <v>407</v>
      </c>
      <c r="AB124" s="228">
        <f>Belgium!AD24</f>
        <v>378</v>
      </c>
      <c r="AC124" s="100">
        <f>Z124/Y124-1</f>
        <v>2.9013539651837617E-2</v>
      </c>
    </row>
    <row r="125" spans="1:29" x14ac:dyDescent="0.2">
      <c r="A125" s="25" t="s">
        <v>122</v>
      </c>
      <c r="B125" s="6">
        <v>10681</v>
      </c>
      <c r="C125" s="6">
        <v>11104</v>
      </c>
      <c r="D125" s="6">
        <v>10570</v>
      </c>
      <c r="E125" s="6">
        <v>9936</v>
      </c>
      <c r="F125" s="6">
        <v>8283</v>
      </c>
      <c r="G125" s="6">
        <v>6467</v>
      </c>
      <c r="H125" s="6">
        <f>Germany!J25</f>
        <v>8112</v>
      </c>
      <c r="I125" s="58">
        <f>Germany!K25</f>
        <v>10142</v>
      </c>
      <c r="J125" s="6">
        <f>Germany!L25</f>
        <v>9712</v>
      </c>
      <c r="K125" s="25">
        <f>Germany!M25</f>
        <v>9841</v>
      </c>
      <c r="L125" s="25">
        <f>Germany!N25</f>
        <v>9464</v>
      </c>
      <c r="M125" s="25">
        <f>Germany!O25</f>
        <v>6927</v>
      </c>
      <c r="N125" s="25">
        <f>Germany!P25</f>
        <v>7098</v>
      </c>
      <c r="O125" s="25">
        <f>Germany!Q25</f>
        <v>6950</v>
      </c>
      <c r="P125" s="6">
        <f>Germany!R25</f>
        <v>6167</v>
      </c>
      <c r="Q125" s="119">
        <f>Germany!S25</f>
        <v>7134</v>
      </c>
      <c r="R125" s="119">
        <f>Germany!T25</f>
        <v>6761</v>
      </c>
      <c r="S125" s="119">
        <f>Germany!U25</f>
        <v>6154</v>
      </c>
      <c r="T125" s="119">
        <f>Germany!V25</f>
        <v>5308</v>
      </c>
      <c r="U125" s="119">
        <f>Germany!W25</f>
        <v>4720</v>
      </c>
      <c r="V125" s="119">
        <f>Germany!X25</f>
        <v>4684</v>
      </c>
      <c r="W125" s="119">
        <f>Germany!Y25</f>
        <v>4881</v>
      </c>
      <c r="X125" s="119">
        <f>Germany!Z25</f>
        <v>5823</v>
      </c>
      <c r="Y125" s="119">
        <f>Germany!AA25</f>
        <v>6582</v>
      </c>
      <c r="Z125" s="119">
        <f>Germany!AB25</f>
        <v>6821</v>
      </c>
      <c r="AA125" s="119">
        <f>Germany!AC25</f>
        <v>5904</v>
      </c>
      <c r="AB125" s="228">
        <f>Germany!AD25</f>
        <v>0</v>
      </c>
      <c r="AC125" s="100">
        <f t="shared" ref="AC125:AC130" si="14">Z125/Y125-1</f>
        <v>3.6311151625645799E-2</v>
      </c>
    </row>
    <row r="126" spans="1:29" x14ac:dyDescent="0.2">
      <c r="A126" s="25" t="s">
        <v>123</v>
      </c>
      <c r="B126" s="6">
        <v>30639</v>
      </c>
      <c r="C126" s="6">
        <v>38410</v>
      </c>
      <c r="D126" s="6">
        <v>30585</v>
      </c>
      <c r="E126" s="6">
        <v>25970</v>
      </c>
      <c r="F126" s="6">
        <v>27003</v>
      </c>
      <c r="G126" s="6">
        <v>25638</v>
      </c>
      <c r="H126" s="6">
        <f>Denmark!J24</f>
        <v>34870</v>
      </c>
      <c r="I126" s="6">
        <f>Denmark!K24</f>
        <v>36562</v>
      </c>
      <c r="J126" s="6">
        <f>Denmark!L24</f>
        <v>36393</v>
      </c>
      <c r="K126" s="25">
        <f>Denmark!M24</f>
        <v>37558</v>
      </c>
      <c r="L126" s="25">
        <f>Denmark!N24</f>
        <v>30349</v>
      </c>
      <c r="M126" s="25">
        <f>Denmark!O24</f>
        <v>29484</v>
      </c>
      <c r="N126" s="25">
        <f>Denmark!P24</f>
        <v>34530</v>
      </c>
      <c r="O126" s="25">
        <f>Denmark!Q24</f>
        <v>23507</v>
      </c>
      <c r="P126" s="6">
        <f>Denmark!R24</f>
        <v>25947</v>
      </c>
      <c r="Q126" s="119">
        <f>Denmark!S24</f>
        <v>34845</v>
      </c>
      <c r="R126" s="119">
        <f>Denmark!T24</f>
        <v>38056</v>
      </c>
      <c r="S126" s="119">
        <f>Denmark!U24</f>
        <v>35581</v>
      </c>
      <c r="T126" s="119">
        <f>Denmark!V24</f>
        <v>26525</v>
      </c>
      <c r="U126" s="119">
        <f>Denmark!W24</f>
        <v>24074</v>
      </c>
      <c r="V126" s="119">
        <f>Denmark!X24</f>
        <v>25956</v>
      </c>
      <c r="W126" s="119">
        <f>Denmark!Y24</f>
        <v>34583</v>
      </c>
      <c r="X126" s="119">
        <f>Denmark!Z24</f>
        <v>43012</v>
      </c>
      <c r="Y126" s="119">
        <f>Denmark!AA24</f>
        <v>43777</v>
      </c>
      <c r="Z126" s="119">
        <f>Denmark!AB24</f>
        <v>48184</v>
      </c>
      <c r="AA126" s="119">
        <f>Denmark!AC24</f>
        <v>51726</v>
      </c>
      <c r="AB126" s="228">
        <f>Denmark!AD24</f>
        <v>0</v>
      </c>
      <c r="AC126" s="100">
        <f t="shared" si="14"/>
        <v>0.10066930123124007</v>
      </c>
    </row>
    <row r="127" spans="1:29" x14ac:dyDescent="0.2">
      <c r="A127" s="49" t="s">
        <v>7</v>
      </c>
      <c r="B127" s="52">
        <v>5636</v>
      </c>
      <c r="C127" s="52">
        <v>6140</v>
      </c>
      <c r="D127" s="52">
        <v>6140</v>
      </c>
      <c r="E127" s="52">
        <f>4530+2124</f>
        <v>6654</v>
      </c>
      <c r="F127" s="52">
        <f>4198+2261</f>
        <v>6459</v>
      </c>
      <c r="G127" s="52">
        <f>2304+3019</f>
        <v>5323</v>
      </c>
      <c r="H127" s="52">
        <f>France!J25</f>
        <v>7432</v>
      </c>
      <c r="I127" s="52">
        <f>France!K25</f>
        <v>8809</v>
      </c>
      <c r="J127" s="52">
        <f>France!L25</f>
        <v>9248</v>
      </c>
      <c r="K127" s="67">
        <f>France!M25</f>
        <v>8435</v>
      </c>
      <c r="L127" s="67">
        <f>France!N25</f>
        <v>6971</v>
      </c>
      <c r="M127" s="67">
        <f>France!O25</f>
        <v>4328</v>
      </c>
      <c r="N127" s="67">
        <f>France!P25</f>
        <v>4266</v>
      </c>
      <c r="O127" s="67">
        <f>France!Q25</f>
        <v>3589</v>
      </c>
      <c r="P127" s="52">
        <f>France!R25</f>
        <v>3604</v>
      </c>
      <c r="Q127" s="121">
        <f>France!S25</f>
        <v>3210</v>
      </c>
      <c r="R127" s="121">
        <f>France!T25</f>
        <v>2157</v>
      </c>
      <c r="S127" s="121">
        <f>France!U25</f>
        <v>2064</v>
      </c>
      <c r="T127" s="121">
        <f>France!V25</f>
        <v>2154</v>
      </c>
      <c r="U127" s="121">
        <f>France!W25</f>
        <v>2546</v>
      </c>
      <c r="V127" s="121">
        <f>France!X25</f>
        <v>2636</v>
      </c>
      <c r="W127" s="121">
        <f>France!Y25</f>
        <v>2832</v>
      </c>
      <c r="X127" s="121">
        <f>France!Z25</f>
        <v>2656</v>
      </c>
      <c r="Y127" s="121">
        <f>France!AA25</f>
        <v>2858</v>
      </c>
      <c r="Z127" s="121">
        <f>France!AB25</f>
        <v>3080</v>
      </c>
      <c r="AA127" s="121">
        <f>France!AC25</f>
        <v>2830</v>
      </c>
      <c r="AB127" s="227">
        <f>France!AD25</f>
        <v>2294</v>
      </c>
      <c r="AC127" s="100">
        <f t="shared" si="14"/>
        <v>7.7676696990902627E-2</v>
      </c>
    </row>
    <row r="128" spans="1:29" x14ac:dyDescent="0.2">
      <c r="A128" s="7" t="s">
        <v>138</v>
      </c>
      <c r="B128" s="6">
        <v>16794</v>
      </c>
      <c r="C128" s="6">
        <v>20495</v>
      </c>
      <c r="D128" s="6">
        <v>10825</v>
      </c>
      <c r="E128" s="6">
        <v>13904</v>
      </c>
      <c r="F128" s="6">
        <v>12087</v>
      </c>
      <c r="G128" s="6">
        <v>9109</v>
      </c>
      <c r="H128" s="6">
        <f>'Pays-Bas'!J24</f>
        <v>13625</v>
      </c>
      <c r="I128" s="6">
        <f>'Pays-Bas'!K24</f>
        <v>17020</v>
      </c>
      <c r="J128" s="5">
        <f>'Pays-Bas'!L24</f>
        <v>20322</v>
      </c>
      <c r="K128" s="25">
        <f>'Pays-Bas'!M24</f>
        <v>17650</v>
      </c>
      <c r="L128" s="25">
        <f>'Pays-Bas'!N24</f>
        <v>13617</v>
      </c>
      <c r="M128" s="25">
        <f>'Pays-Bas'!O24</f>
        <v>10004</v>
      </c>
      <c r="N128" s="25">
        <f>'Pays-Bas'!P24</f>
        <v>11051</v>
      </c>
      <c r="O128" s="25">
        <f>'Pays-Bas'!Q24</f>
        <v>8497</v>
      </c>
      <c r="P128" s="6">
        <f>'Pays-Bas'!R24</f>
        <v>7158</v>
      </c>
      <c r="Q128" s="119">
        <f>'Pays-Bas'!S24</f>
        <v>10506</v>
      </c>
      <c r="R128" s="119">
        <f>'Pays-Bas'!T24</f>
        <v>9142</v>
      </c>
      <c r="S128" s="119">
        <f>'Pays-Bas'!U24</f>
        <v>9099</v>
      </c>
      <c r="T128" s="119">
        <f>'Pays-Bas'!V24</f>
        <v>9828</v>
      </c>
      <c r="U128" s="119">
        <f>'Pays-Bas'!W24</f>
        <v>9542</v>
      </c>
      <c r="V128" s="119"/>
      <c r="W128" s="119">
        <f>'Pays-Bas'!Y24</f>
        <v>9230</v>
      </c>
      <c r="X128" s="119">
        <f>'Pays-Bas'!Z24</f>
        <v>11271</v>
      </c>
      <c r="Y128" s="119"/>
      <c r="Z128" s="119"/>
      <c r="AA128" s="119"/>
      <c r="AB128" s="228"/>
      <c r="AC128" s="100" t="e">
        <f t="shared" si="14"/>
        <v>#DIV/0!</v>
      </c>
    </row>
    <row r="129" spans="1:29" x14ac:dyDescent="0.2">
      <c r="A129" s="7" t="s">
        <v>125</v>
      </c>
      <c r="B129" s="6">
        <v>346</v>
      </c>
      <c r="C129" s="6">
        <v>392</v>
      </c>
      <c r="D129" s="6">
        <v>414</v>
      </c>
      <c r="E129" s="6">
        <v>414</v>
      </c>
      <c r="F129" s="6">
        <v>462</v>
      </c>
      <c r="G129" s="6">
        <v>537</v>
      </c>
      <c r="H129" s="6">
        <f>Sweden!J24</f>
        <v>562</v>
      </c>
      <c r="I129" s="6">
        <f>Sweden!K24</f>
        <v>814</v>
      </c>
      <c r="J129" s="5">
        <f>Sweden!L24</f>
        <v>818</v>
      </c>
      <c r="K129" s="25">
        <f>Sweden!M24</f>
        <v>817</v>
      </c>
      <c r="L129" s="25">
        <f>Sweden!N24</f>
        <v>562</v>
      </c>
      <c r="M129" s="25">
        <f>Sweden!O24</f>
        <v>660</v>
      </c>
      <c r="N129" s="25">
        <f>Sweden!P24</f>
        <v>650</v>
      </c>
      <c r="O129" s="25">
        <f>Sweden!Q24</f>
        <v>738</v>
      </c>
      <c r="P129" s="6">
        <f>Sweden!R24</f>
        <v>714</v>
      </c>
      <c r="Q129" s="119">
        <f>Sweden!S24</f>
        <v>788</v>
      </c>
      <c r="R129" s="119">
        <f>Sweden!T24</f>
        <v>755</v>
      </c>
      <c r="S129" s="119">
        <f>Sweden!U24</f>
        <v>745</v>
      </c>
      <c r="T129" s="119">
        <f>Sweden!V24</f>
        <v>395</v>
      </c>
      <c r="U129" s="119">
        <f>Sweden!W24</f>
        <v>428.6</v>
      </c>
      <c r="V129" s="119">
        <f>Sweden!X24</f>
        <v>419.1</v>
      </c>
      <c r="W129" s="119">
        <f>Sweden!Y24</f>
        <v>447</v>
      </c>
      <c r="X129" s="119">
        <f>Sweden!Z24</f>
        <v>1087</v>
      </c>
      <c r="Y129" s="119">
        <f>Sweden!AA24</f>
        <v>1090</v>
      </c>
      <c r="Z129" s="119">
        <f>Sweden!AB24</f>
        <v>1582</v>
      </c>
      <c r="AA129" s="119">
        <f>Sweden!AC24</f>
        <v>1129</v>
      </c>
      <c r="AB129" s="228">
        <f>Sweden!AD24</f>
        <v>894</v>
      </c>
      <c r="AC129" s="100">
        <f t="shared" si="14"/>
        <v>0.45137614678899074</v>
      </c>
    </row>
    <row r="130" spans="1:29" x14ac:dyDescent="0.2">
      <c r="A130" s="7" t="s">
        <v>126</v>
      </c>
      <c r="B130" s="6">
        <v>8987</v>
      </c>
      <c r="C130" s="6">
        <v>8760</v>
      </c>
      <c r="D130" s="6">
        <v>6269</v>
      </c>
      <c r="E130" s="6">
        <v>5117</v>
      </c>
      <c r="F130" s="6">
        <v>5257</v>
      </c>
      <c r="G130" s="6">
        <v>4687</v>
      </c>
      <c r="H130" s="6">
        <f>UK!J24</f>
        <v>5000</v>
      </c>
      <c r="I130" s="6">
        <f>UK!K24</f>
        <v>4911.7</v>
      </c>
      <c r="J130" s="63">
        <f>UK!L24</f>
        <v>4730.8999999999996</v>
      </c>
      <c r="K130" s="25">
        <f>UK!M24</f>
        <v>4595.6000000000004</v>
      </c>
      <c r="L130" s="25">
        <f>UK!N24</f>
        <v>4630.3999999999996</v>
      </c>
      <c r="M130" s="25">
        <f>UK!O24</f>
        <v>4034</v>
      </c>
      <c r="N130" s="25">
        <f>UK!P24</f>
        <v>4035</v>
      </c>
      <c r="O130" s="25">
        <f>UK!Q24</f>
        <v>3877</v>
      </c>
      <c r="P130" s="6">
        <f>UK!R24</f>
        <v>4104</v>
      </c>
      <c r="Q130" s="119">
        <f>UK!S24</f>
        <v>4632</v>
      </c>
      <c r="R130" s="119">
        <f>UK!T24</f>
        <v>4888</v>
      </c>
      <c r="S130" s="119">
        <f>UK!U24</f>
        <v>5111</v>
      </c>
      <c r="T130" s="119">
        <f>UK!V24</f>
        <v>4795.2</v>
      </c>
      <c r="U130" s="119">
        <f>UK!W24</f>
        <v>5086.2</v>
      </c>
      <c r="V130" s="119">
        <f>UK!X24</f>
        <v>4731.0999999999995</v>
      </c>
      <c r="W130" s="119">
        <f>UK!Y24</f>
        <v>5342</v>
      </c>
      <c r="X130" s="119">
        <f>UK!Z24</f>
        <v>5565</v>
      </c>
      <c r="Y130" s="119">
        <f>UK!AA24</f>
        <v>6070</v>
      </c>
      <c r="Z130" s="119">
        <f>UK!AB24</f>
        <v>6586.8000000000011</v>
      </c>
      <c r="AA130" s="119">
        <f>UK!AC24</f>
        <v>7193.7000000000007</v>
      </c>
      <c r="AB130" s="228">
        <f>UK!AD24</f>
        <v>6604.1999999999989</v>
      </c>
      <c r="AC130" s="100">
        <f t="shared" si="14"/>
        <v>8.5140032948929356E-2</v>
      </c>
    </row>
    <row r="131" spans="1:29" x14ac:dyDescent="0.2">
      <c r="A131" t="s">
        <v>145</v>
      </c>
      <c r="L131" s="23"/>
      <c r="Q131" s="146">
        <f>+'Rep Tcheque'!S24</f>
        <v>1090</v>
      </c>
      <c r="R131" s="146">
        <f>+'Rep Tcheque'!T24</f>
        <v>1317</v>
      </c>
      <c r="S131" s="146">
        <f>+'Rep Tcheque'!U24</f>
        <v>916</v>
      </c>
      <c r="T131" s="146">
        <f>+'Rep Tcheque'!V24</f>
        <v>773</v>
      </c>
      <c r="U131" s="146">
        <f>+'Rep Tcheque'!W24</f>
        <v>988</v>
      </c>
      <c r="Z131" s="146"/>
      <c r="AC131" s="176"/>
    </row>
    <row r="132" spans="1:29" x14ac:dyDescent="0.2">
      <c r="A132" t="s">
        <v>146</v>
      </c>
      <c r="Q132" s="146">
        <f>+Pologne!S24</f>
        <v>4406</v>
      </c>
      <c r="R132" s="146">
        <f>+Pologne!T24</f>
        <v>4891</v>
      </c>
      <c r="S132" s="146">
        <f>+Pologne!U24</f>
        <v>6257</v>
      </c>
      <c r="T132" s="146">
        <f>+Pologne!V24</f>
        <v>6862</v>
      </c>
      <c r="U132" s="146">
        <f>+Pologne!W24</f>
        <v>6852</v>
      </c>
      <c r="Z132" s="146"/>
      <c r="AC132" s="176"/>
    </row>
    <row r="133" spans="1:29" ht="15.75" x14ac:dyDescent="0.25">
      <c r="A133" s="102" t="s">
        <v>147</v>
      </c>
      <c r="B133" s="44">
        <v>1997</v>
      </c>
      <c r="C133" s="44">
        <v>1998</v>
      </c>
      <c r="D133" s="44">
        <v>1999</v>
      </c>
      <c r="E133" s="44">
        <v>2000</v>
      </c>
      <c r="F133" s="44">
        <v>2001</v>
      </c>
      <c r="G133" s="44">
        <v>2002</v>
      </c>
      <c r="H133" s="109">
        <v>2003</v>
      </c>
      <c r="I133" s="109">
        <v>2004</v>
      </c>
      <c r="J133" s="109">
        <v>2005</v>
      </c>
      <c r="K133" s="110">
        <v>2006</v>
      </c>
      <c r="L133" s="109">
        <v>2007</v>
      </c>
      <c r="M133" s="111">
        <v>2008</v>
      </c>
      <c r="N133" s="109">
        <v>2009</v>
      </c>
      <c r="O133" s="109">
        <v>2010</v>
      </c>
      <c r="P133" s="111">
        <v>2011</v>
      </c>
      <c r="Q133" s="109">
        <v>2012</v>
      </c>
      <c r="R133" s="109">
        <v>2013</v>
      </c>
      <c r="S133" s="109">
        <v>2014</v>
      </c>
      <c r="T133" s="109">
        <v>2015</v>
      </c>
      <c r="U133" s="109">
        <v>2016</v>
      </c>
      <c r="V133" s="109">
        <v>2017</v>
      </c>
      <c r="W133" s="109">
        <v>2018</v>
      </c>
      <c r="X133" s="109">
        <v>2019</v>
      </c>
      <c r="Y133" s="109">
        <v>2020</v>
      </c>
      <c r="Z133" s="109">
        <v>2021</v>
      </c>
      <c r="AA133" s="109">
        <v>2022</v>
      </c>
      <c r="AB133" s="224" t="s">
        <v>119</v>
      </c>
      <c r="AC133" s="199" t="s">
        <v>120</v>
      </c>
    </row>
    <row r="134" spans="1:29" x14ac:dyDescent="0.2">
      <c r="A134" s="25" t="s">
        <v>122</v>
      </c>
      <c r="B134" s="6">
        <v>242</v>
      </c>
      <c r="C134" s="6">
        <v>382</v>
      </c>
      <c r="D134" s="6">
        <v>370</v>
      </c>
      <c r="E134" s="6">
        <v>351</v>
      </c>
      <c r="F134" s="6">
        <v>174</v>
      </c>
      <c r="G134" s="6">
        <v>54</v>
      </c>
      <c r="H134" s="6">
        <f>Germany!J24</f>
        <v>130</v>
      </c>
      <c r="I134" s="58">
        <f>Germany!K24</f>
        <v>146</v>
      </c>
      <c r="J134" s="6">
        <f>Germany!L24</f>
        <v>434</v>
      </c>
      <c r="K134" s="25">
        <f>Germany!M24</f>
        <v>447</v>
      </c>
      <c r="L134" s="25">
        <f>Germany!N24</f>
        <v>595</v>
      </c>
      <c r="M134" s="25">
        <f>Germany!O24</f>
        <v>611</v>
      </c>
      <c r="N134" s="25">
        <f>Germany!P24</f>
        <v>578</v>
      </c>
      <c r="O134" s="25">
        <f>Germany!Q24</f>
        <v>310</v>
      </c>
      <c r="P134" s="6">
        <f>Germany!R24</f>
        <v>420</v>
      </c>
      <c r="Q134" s="119">
        <f>Germany!S24</f>
        <v>455</v>
      </c>
      <c r="R134" s="119">
        <f>Germany!T24</f>
        <v>454</v>
      </c>
      <c r="S134" s="119">
        <f>Germany!U24</f>
        <v>416</v>
      </c>
      <c r="T134" s="119">
        <f>Germany!V24</f>
        <v>475</v>
      </c>
      <c r="U134" s="119">
        <f>Germany!W24</f>
        <v>372</v>
      </c>
      <c r="V134" s="119">
        <f>Germany!X24</f>
        <v>537</v>
      </c>
      <c r="W134" s="119">
        <f>Germany!Y24</f>
        <v>482</v>
      </c>
      <c r="X134" s="119">
        <f>Germany!Z24</f>
        <v>481</v>
      </c>
      <c r="Y134" s="119">
        <f>Germany!AA24</f>
        <v>741</v>
      </c>
      <c r="Z134" s="119">
        <f>Germany!AB24</f>
        <v>696</v>
      </c>
      <c r="AA134" s="119">
        <f>Germany!AC24</f>
        <v>557</v>
      </c>
      <c r="AB134" s="228">
        <f>Germany!AD24</f>
        <v>0</v>
      </c>
      <c r="AC134" s="100">
        <f>Z134/Y134-1</f>
        <v>-6.0728744939271273E-2</v>
      </c>
    </row>
    <row r="135" spans="1:29" x14ac:dyDescent="0.2">
      <c r="A135" s="25" t="s">
        <v>123</v>
      </c>
      <c r="B135" s="6">
        <v>933</v>
      </c>
      <c r="C135" s="6">
        <v>1681</v>
      </c>
      <c r="D135" s="6">
        <v>1523</v>
      </c>
      <c r="E135" s="6">
        <v>840</v>
      </c>
      <c r="F135" s="6">
        <v>373</v>
      </c>
      <c r="G135" s="6">
        <v>246</v>
      </c>
      <c r="H135" s="6">
        <f>Denmark!J25</f>
        <v>667</v>
      </c>
      <c r="I135" s="6">
        <f>Denmark!K25</f>
        <v>1037</v>
      </c>
      <c r="J135" s="6">
        <f>Denmark!L25</f>
        <v>1438</v>
      </c>
      <c r="K135" s="25">
        <f>Denmark!M25</f>
        <v>1403</v>
      </c>
      <c r="L135" s="25">
        <f>Denmark!N25</f>
        <v>1311</v>
      </c>
      <c r="M135" s="25">
        <f>Denmark!O25</f>
        <v>1004</v>
      </c>
      <c r="N135" s="25">
        <f>Denmark!P25</f>
        <v>828</v>
      </c>
      <c r="O135" s="25">
        <f>Denmark!Q25</f>
        <v>438</v>
      </c>
      <c r="P135" s="6">
        <f>Denmark!R25</f>
        <v>397</v>
      </c>
      <c r="Q135" s="119">
        <f>Denmark!S25</f>
        <v>697</v>
      </c>
      <c r="R135" s="119">
        <f>Denmark!T25</f>
        <v>774</v>
      </c>
      <c r="S135" s="119">
        <f>Denmark!U25</f>
        <v>913</v>
      </c>
      <c r="T135" s="119">
        <f>Denmark!V25</f>
        <v>694</v>
      </c>
      <c r="U135" s="119">
        <f>Denmark!W25</f>
        <v>302</v>
      </c>
      <c r="V135" s="119">
        <f>Denmark!X25</f>
        <v>352</v>
      </c>
      <c r="W135" s="119">
        <f>Denmark!Y25</f>
        <v>424</v>
      </c>
      <c r="X135" s="119">
        <f>Denmark!Z25</f>
        <v>484</v>
      </c>
      <c r="Y135" s="119">
        <f>Denmark!AA25</f>
        <v>741</v>
      </c>
      <c r="Z135" s="119">
        <f>Denmark!AB25</f>
        <v>758</v>
      </c>
      <c r="AA135" s="119">
        <f>Denmark!AC25</f>
        <v>528</v>
      </c>
      <c r="AB135" s="228">
        <f>Denmark!AD25</f>
        <v>0</v>
      </c>
      <c r="AC135" s="100">
        <f t="shared" ref="AC135:AC139" si="15">Z135/Y135-1</f>
        <v>2.2941970310391469E-2</v>
      </c>
    </row>
    <row r="136" spans="1:29" x14ac:dyDescent="0.2">
      <c r="A136" s="49" t="s">
        <v>7</v>
      </c>
      <c r="B136" s="52">
        <v>1088</v>
      </c>
      <c r="C136" s="52">
        <v>1383</v>
      </c>
      <c r="D136" s="52">
        <v>2108</v>
      </c>
      <c r="E136" s="52">
        <v>1049</v>
      </c>
      <c r="F136" s="52">
        <v>731</v>
      </c>
      <c r="G136" s="52">
        <v>609</v>
      </c>
      <c r="H136" s="52">
        <f>France!J26</f>
        <v>991</v>
      </c>
      <c r="I136" s="52">
        <f>France!K26</f>
        <v>1237</v>
      </c>
      <c r="J136" s="52">
        <f>France!L26</f>
        <v>1773</v>
      </c>
      <c r="K136" s="67">
        <f>France!M26</f>
        <v>1918</v>
      </c>
      <c r="L136" s="67">
        <f>France!N26</f>
        <v>1746</v>
      </c>
      <c r="M136" s="67">
        <f>France!O26</f>
        <v>1389</v>
      </c>
      <c r="N136" s="67">
        <f>France!P26</f>
        <v>1006</v>
      </c>
      <c r="O136" s="67">
        <f>France!Q26</f>
        <v>489</v>
      </c>
      <c r="P136" s="52">
        <f>France!R26</f>
        <v>739</v>
      </c>
      <c r="Q136" s="121">
        <f>France!S26</f>
        <v>1347</v>
      </c>
      <c r="R136" s="121">
        <f>France!T26</f>
        <v>1356</v>
      </c>
      <c r="S136" s="121">
        <f>France!U26</f>
        <v>808</v>
      </c>
      <c r="T136" s="121">
        <f>France!V26</f>
        <v>1543</v>
      </c>
      <c r="U136" s="121">
        <f>France!W26</f>
        <v>1131</v>
      </c>
      <c r="V136" s="121">
        <f>France!X26</f>
        <v>1212</v>
      </c>
      <c r="W136" s="121">
        <f>France!Y26</f>
        <v>1259</v>
      </c>
      <c r="X136" s="121">
        <f>France!Z26</f>
        <v>1486</v>
      </c>
      <c r="Y136" s="121">
        <f>France!AA26</f>
        <v>1569</v>
      </c>
      <c r="Z136" s="121">
        <f>France!AB26</f>
        <v>1721</v>
      </c>
      <c r="AA136" s="121">
        <f>France!AC26</f>
        <v>1616</v>
      </c>
      <c r="AB136" s="227">
        <f>France!AD26</f>
        <v>1118</v>
      </c>
      <c r="AC136" s="100">
        <f t="shared" si="15"/>
        <v>9.6876991714467842E-2</v>
      </c>
    </row>
    <row r="137" spans="1:29" x14ac:dyDescent="0.2">
      <c r="A137" s="7" t="s">
        <v>138</v>
      </c>
      <c r="B137" s="6">
        <v>99</v>
      </c>
      <c r="C137" s="6">
        <v>194</v>
      </c>
      <c r="D137" s="6">
        <v>287</v>
      </c>
      <c r="E137" s="6">
        <v>310</v>
      </c>
      <c r="F137" s="6">
        <v>103</v>
      </c>
      <c r="G137" s="6">
        <v>52</v>
      </c>
      <c r="H137" s="6">
        <f>'Pays-Bas'!J25</f>
        <v>25</v>
      </c>
      <c r="I137" s="5">
        <f>'Pays-Bas'!K25</f>
        <v>71</v>
      </c>
      <c r="J137" s="5">
        <f>'Pays-Bas'!L25</f>
        <v>146</v>
      </c>
      <c r="K137" s="7">
        <f>'Pays-Bas'!M25</f>
        <v>270</v>
      </c>
      <c r="L137" s="7">
        <f>'Pays-Bas'!N25</f>
        <v>396</v>
      </c>
      <c r="M137" s="7">
        <f>'Pays-Bas'!O25</f>
        <v>263</v>
      </c>
      <c r="N137" s="7">
        <f>'Pays-Bas'!P25</f>
        <v>214</v>
      </c>
      <c r="O137" s="7">
        <f>'Pays-Bas'!Q25</f>
        <v>96</v>
      </c>
      <c r="P137" s="5">
        <f>'Pays-Bas'!R25</f>
        <v>113</v>
      </c>
      <c r="Q137" s="123">
        <f>'Pays-Bas'!S25</f>
        <v>254</v>
      </c>
      <c r="R137" s="123">
        <f>'Pays-Bas'!T25</f>
        <v>263</v>
      </c>
      <c r="S137" s="123">
        <f>'Pays-Bas'!U25</f>
        <v>283</v>
      </c>
      <c r="T137" s="123">
        <f>'Pays-Bas'!V25</f>
        <v>275</v>
      </c>
      <c r="U137" s="123">
        <f>'Pays-Bas'!W25</f>
        <v>263</v>
      </c>
      <c r="V137" s="123"/>
      <c r="W137" s="123">
        <f>'Pays-Bas'!Y25</f>
        <v>290</v>
      </c>
      <c r="X137" s="123">
        <f>'Pays-Bas'!Z25</f>
        <v>322</v>
      </c>
      <c r="Y137" s="123"/>
      <c r="Z137" s="123"/>
      <c r="AA137" s="123"/>
      <c r="AB137" s="232"/>
      <c r="AC137" s="100" t="e">
        <f t="shared" si="15"/>
        <v>#DIV/0!</v>
      </c>
    </row>
    <row r="138" spans="1:29" x14ac:dyDescent="0.2">
      <c r="A138" s="7" t="s">
        <v>125</v>
      </c>
      <c r="B138" s="6"/>
      <c r="C138" s="6"/>
      <c r="D138" s="6"/>
      <c r="E138" s="6"/>
      <c r="F138" s="6"/>
      <c r="G138" s="6"/>
      <c r="H138" s="6"/>
      <c r="I138" s="5"/>
      <c r="J138" s="5"/>
      <c r="K138" s="7"/>
      <c r="L138" s="7"/>
      <c r="M138" s="7"/>
      <c r="N138" s="7"/>
      <c r="O138" s="7"/>
      <c r="P138" s="5"/>
      <c r="Q138" s="123">
        <f>Sweden!S25</f>
        <v>0</v>
      </c>
      <c r="R138" s="123">
        <f>Sweden!T25</f>
        <v>0</v>
      </c>
      <c r="S138" s="123">
        <f>Sweden!U25</f>
        <v>0</v>
      </c>
      <c r="T138" s="123">
        <f>Sweden!V25</f>
        <v>0</v>
      </c>
      <c r="U138" s="123">
        <f>Sweden!W25</f>
        <v>0</v>
      </c>
      <c r="V138" s="123">
        <f>Sweden!X25</f>
        <v>32.9</v>
      </c>
      <c r="W138" s="123">
        <f>Sweden!Y25</f>
        <v>0</v>
      </c>
      <c r="X138" s="123">
        <f>Sweden!Z25</f>
        <v>25</v>
      </c>
      <c r="Y138" s="123">
        <f>Sweden!AA25</f>
        <v>65</v>
      </c>
      <c r="Z138" s="123">
        <f>Sweden!AB25</f>
        <v>37</v>
      </c>
      <c r="AA138" s="123">
        <f>Sweden!AC25</f>
        <v>7</v>
      </c>
      <c r="AB138" s="232">
        <f>Sweden!AD25</f>
        <v>24</v>
      </c>
      <c r="AC138" s="100">
        <f t="shared" si="15"/>
        <v>-0.43076923076923079</v>
      </c>
    </row>
    <row r="139" spans="1:29" x14ac:dyDescent="0.2">
      <c r="A139" s="7" t="s">
        <v>126</v>
      </c>
      <c r="B139" s="6">
        <v>662</v>
      </c>
      <c r="C139" s="6">
        <v>968</v>
      </c>
      <c r="D139" s="6">
        <v>930</v>
      </c>
      <c r="E139" s="6">
        <v>666</v>
      </c>
      <c r="F139" s="6">
        <v>527</v>
      </c>
      <c r="G139" s="6">
        <v>444</v>
      </c>
      <c r="H139" s="6">
        <f>UK!J25</f>
        <v>377</v>
      </c>
      <c r="I139" s="6">
        <f>UK!K25</f>
        <v>550.20000000000005</v>
      </c>
      <c r="J139" s="63">
        <f>UK!L25</f>
        <v>539.20000000000005</v>
      </c>
      <c r="K139" s="25">
        <f>UK!M25</f>
        <v>393.6</v>
      </c>
      <c r="L139" s="25">
        <f>UK!N25</f>
        <v>424</v>
      </c>
      <c r="M139" s="25">
        <f>UK!O25</f>
        <v>393</v>
      </c>
      <c r="N139" s="25">
        <f>UK!P25</f>
        <v>488</v>
      </c>
      <c r="O139" s="25">
        <f>UK!Q25</f>
        <v>547</v>
      </c>
      <c r="P139" s="6">
        <f>UK!R25</f>
        <v>498</v>
      </c>
      <c r="Q139" s="119">
        <f>UK!S25</f>
        <v>641</v>
      </c>
      <c r="R139" s="119">
        <f>UK!T25</f>
        <v>699</v>
      </c>
      <c r="S139" s="119">
        <f>UK!U25</f>
        <v>613</v>
      </c>
      <c r="T139" s="119">
        <f>UK!V25</f>
        <v>636.9</v>
      </c>
      <c r="U139" s="119">
        <f>UK!W25</f>
        <v>735</v>
      </c>
      <c r="V139" s="119">
        <f>UK!X25</f>
        <v>537.5</v>
      </c>
      <c r="W139" s="119">
        <f>UK!Y25</f>
        <v>578.40000000000009</v>
      </c>
      <c r="X139" s="119">
        <f>UK!Z25</f>
        <v>736</v>
      </c>
      <c r="Y139" s="119">
        <f>UK!AA25</f>
        <v>863</v>
      </c>
      <c r="Z139" s="119">
        <f>UK!AB25</f>
        <v>1102.3</v>
      </c>
      <c r="AA139" s="119">
        <f>UK!AC25</f>
        <v>946.59999999999991</v>
      </c>
      <c r="AB139" s="228">
        <f>UK!AD25</f>
        <v>530.19999999999993</v>
      </c>
      <c r="AC139" s="100">
        <f t="shared" si="15"/>
        <v>0.27728852838933937</v>
      </c>
    </row>
    <row r="140" spans="1:29" x14ac:dyDescent="0.2">
      <c r="Z140" s="146"/>
      <c r="AC140" s="176"/>
    </row>
    <row r="141" spans="1:29" x14ac:dyDescent="0.2">
      <c r="Z141" s="146"/>
      <c r="AC141" s="176"/>
    </row>
    <row r="142" spans="1:29" ht="15.75" x14ac:dyDescent="0.25">
      <c r="A142" s="102" t="s">
        <v>148</v>
      </c>
      <c r="B142" s="44">
        <v>1997</v>
      </c>
      <c r="C142" s="44">
        <v>1998</v>
      </c>
      <c r="D142" s="44">
        <v>1999</v>
      </c>
      <c r="E142" s="44">
        <v>2000</v>
      </c>
      <c r="F142" s="44">
        <v>2001</v>
      </c>
      <c r="G142" s="44">
        <v>2002</v>
      </c>
      <c r="H142" s="109">
        <v>2003</v>
      </c>
      <c r="I142" s="109">
        <v>2004</v>
      </c>
      <c r="J142" s="109">
        <v>2005</v>
      </c>
      <c r="K142" s="110">
        <v>2006</v>
      </c>
      <c r="L142" s="109">
        <v>2007</v>
      </c>
      <c r="M142" s="111">
        <v>2008</v>
      </c>
      <c r="N142" s="109">
        <v>2009</v>
      </c>
      <c r="O142" s="109">
        <v>2010</v>
      </c>
      <c r="P142" s="111">
        <v>2011</v>
      </c>
      <c r="Q142" s="109">
        <v>2012</v>
      </c>
      <c r="R142" s="109">
        <v>2013</v>
      </c>
      <c r="S142" s="109">
        <v>2014</v>
      </c>
      <c r="T142" s="109">
        <v>2015</v>
      </c>
      <c r="U142" s="109">
        <v>2016</v>
      </c>
      <c r="V142" s="109">
        <v>2017</v>
      </c>
      <c r="W142" s="109">
        <v>2018</v>
      </c>
      <c r="X142" s="109">
        <v>2019</v>
      </c>
      <c r="Y142" s="109">
        <v>2020</v>
      </c>
      <c r="Z142" s="109">
        <v>2021</v>
      </c>
      <c r="AA142" s="109">
        <v>2022</v>
      </c>
      <c r="AB142" s="224" t="s">
        <v>119</v>
      </c>
      <c r="AC142" s="199" t="s">
        <v>120</v>
      </c>
    </row>
    <row r="143" spans="1:29" x14ac:dyDescent="0.2">
      <c r="A143" s="25" t="s">
        <v>121</v>
      </c>
      <c r="B143" s="6">
        <v>2074</v>
      </c>
      <c r="C143" s="6">
        <v>2843</v>
      </c>
      <c r="D143" s="6">
        <v>2389</v>
      </c>
      <c r="E143" s="6">
        <v>1915</v>
      </c>
      <c r="F143" s="6">
        <v>1547</v>
      </c>
      <c r="G143" s="6">
        <v>1433</v>
      </c>
      <c r="H143" s="6">
        <f>Belgium!J25</f>
        <v>1974</v>
      </c>
      <c r="I143" s="6">
        <f>Belgium!K25</f>
        <v>2091</v>
      </c>
      <c r="J143" s="6">
        <f>Belgium!L25</f>
        <v>2166</v>
      </c>
      <c r="K143" s="25">
        <f>Belgium!M25</f>
        <v>1907</v>
      </c>
      <c r="L143" s="25">
        <f>Belgium!N25</f>
        <v>1808</v>
      </c>
      <c r="M143" s="25">
        <f>Belgium!O25</f>
        <v>1468</v>
      </c>
      <c r="N143" s="25">
        <f>Belgium!P25</f>
        <v>2428</v>
      </c>
      <c r="O143" s="25">
        <f>Belgium!Q25</f>
        <v>1755</v>
      </c>
      <c r="P143" s="6">
        <f>Belgium!R25</f>
        <v>1854</v>
      </c>
      <c r="Q143" s="119">
        <f>Belgium!S25</f>
        <v>2277</v>
      </c>
      <c r="R143" s="119">
        <f>Belgium!T25</f>
        <v>1952.61</v>
      </c>
      <c r="S143" s="119">
        <f>Belgium!U25</f>
        <v>1853</v>
      </c>
      <c r="T143" s="119">
        <f>Belgium!V25</f>
        <v>1856</v>
      </c>
      <c r="U143" s="119">
        <f>Belgium!W25</f>
        <v>1796</v>
      </c>
      <c r="V143" s="119">
        <f>Belgium!X25</f>
        <v>2064</v>
      </c>
      <c r="W143" s="119">
        <f>Belgium!Y25</f>
        <v>2445</v>
      </c>
      <c r="X143" s="119">
        <f>Belgium!Z25</f>
        <v>2656</v>
      </c>
      <c r="Y143" s="119">
        <f>Belgium!AA25</f>
        <v>3102</v>
      </c>
      <c r="Z143" s="119">
        <f>Belgium!AB25</f>
        <v>3729</v>
      </c>
      <c r="AA143" s="119">
        <f>Belgium!AC25</f>
        <v>2870</v>
      </c>
      <c r="AB143" s="228">
        <f>Belgium!AD25</f>
        <v>1726</v>
      </c>
      <c r="AC143" s="100">
        <f>Z143/Y143-1</f>
        <v>0.2021276595744681</v>
      </c>
    </row>
    <row r="144" spans="1:29" x14ac:dyDescent="0.2">
      <c r="A144" s="25" t="s">
        <v>122</v>
      </c>
      <c r="B144" s="23">
        <v>15305</v>
      </c>
      <c r="C144" s="23">
        <v>16336</v>
      </c>
      <c r="D144" s="23">
        <v>13984</v>
      </c>
      <c r="E144" s="23">
        <v>8517</v>
      </c>
      <c r="F144" s="23">
        <v>8366</v>
      </c>
      <c r="G144" s="23">
        <v>8783</v>
      </c>
      <c r="H144" s="23">
        <f>Germany!J26+Germany!J27</f>
        <v>11317</v>
      </c>
      <c r="I144" s="23">
        <f>Germany!K26+Germany!K27</f>
        <v>14905</v>
      </c>
      <c r="J144" s="23">
        <f>Germany!L26+Germany!L27</f>
        <v>16095</v>
      </c>
      <c r="K144" s="23">
        <f>Germany!M26+Germany!M27</f>
        <v>13599</v>
      </c>
      <c r="L144" s="23">
        <f>Germany!N26+Germany!N27</f>
        <v>11817</v>
      </c>
      <c r="M144" s="23">
        <f>Germany!O26+Germany!O27</f>
        <v>11243</v>
      </c>
      <c r="N144" s="23">
        <f>Germany!P26+Germany!P27</f>
        <v>13507</v>
      </c>
      <c r="O144" s="23">
        <f>Germany!Q26+Germany!Q27</f>
        <v>11681</v>
      </c>
      <c r="P144" s="6">
        <f>Germany!R26+Germany!R27</f>
        <v>12735</v>
      </c>
      <c r="Q144" s="119">
        <f>Germany!S26+Germany!S27</f>
        <v>14127</v>
      </c>
      <c r="R144" s="119">
        <f>Germany!T26+Germany!T27</f>
        <v>12408</v>
      </c>
      <c r="S144" s="119">
        <f>Germany!U26+Germany!U27</f>
        <v>12259</v>
      </c>
      <c r="T144" s="119">
        <f>Germany!V26+Germany!V27</f>
        <v>11523</v>
      </c>
      <c r="U144" s="119">
        <f>Germany!W26+Germany!W27</f>
        <v>12395</v>
      </c>
      <c r="V144" s="119">
        <f>Germany!X26+Germany!X27</f>
        <v>11857</v>
      </c>
      <c r="W144" s="119">
        <f>Germany!Y26+Germany!Y27</f>
        <v>12326</v>
      </c>
      <c r="X144" s="119">
        <f>Germany!Z26+Germany!Z27</f>
        <v>14669</v>
      </c>
      <c r="Y144" s="119">
        <f>Germany!AA26+Germany!AA27</f>
        <v>16341</v>
      </c>
      <c r="Z144" s="119">
        <f>Germany!AB26+Germany!AB27</f>
        <v>16682</v>
      </c>
      <c r="AA144" s="119">
        <f>Germany!AC26+Germany!AC27</f>
        <v>12644</v>
      </c>
      <c r="AB144" s="228">
        <f>Germany!AD26+Germany!AD27</f>
        <v>0</v>
      </c>
      <c r="AC144" s="100">
        <f t="shared" ref="AC144:AC149" si="16">Z144/Y144-1</f>
        <v>2.0867755951288203E-2</v>
      </c>
    </row>
    <row r="145" spans="1:29" x14ac:dyDescent="0.2">
      <c r="A145" s="25" t="s">
        <v>123</v>
      </c>
      <c r="B145" s="6">
        <v>3759</v>
      </c>
      <c r="C145" s="6">
        <v>5484</v>
      </c>
      <c r="D145" s="6">
        <v>4104</v>
      </c>
      <c r="E145" s="6">
        <v>2816</v>
      </c>
      <c r="F145" s="6">
        <v>1970</v>
      </c>
      <c r="G145" s="6">
        <v>1596</v>
      </c>
      <c r="H145" s="6">
        <v>2315</v>
      </c>
      <c r="I145" s="6">
        <v>2642</v>
      </c>
      <c r="J145" s="6">
        <f>Denmark!L26</f>
        <v>2612</v>
      </c>
      <c r="K145" s="6">
        <f>Denmark!M26</f>
        <v>2275</v>
      </c>
      <c r="L145" s="6">
        <f>Denmark!N26</f>
        <v>1624</v>
      </c>
      <c r="M145" s="6">
        <f>Denmark!O26</f>
        <v>1481</v>
      </c>
      <c r="N145" s="6">
        <f>Denmark!P26</f>
        <v>1458</v>
      </c>
      <c r="O145" s="25">
        <f>Denmark!Q26</f>
        <v>1314</v>
      </c>
      <c r="P145" s="6">
        <f>Denmark!R26</f>
        <v>1389</v>
      </c>
      <c r="Q145" s="119">
        <f>Denmark!S26</f>
        <v>1443</v>
      </c>
      <c r="R145" s="119">
        <f>Denmark!T26</f>
        <v>1283</v>
      </c>
      <c r="S145" s="119">
        <f>Denmark!U26</f>
        <v>1376</v>
      </c>
      <c r="T145" s="119">
        <f>Denmark!V26</f>
        <v>1102</v>
      </c>
      <c r="U145" s="119">
        <f>Denmark!W26</f>
        <v>818</v>
      </c>
      <c r="V145" s="119">
        <f>Denmark!X26</f>
        <v>1740</v>
      </c>
      <c r="W145" s="119">
        <f>Denmark!Y26</f>
        <v>1337</v>
      </c>
      <c r="X145" s="119">
        <f>Denmark!Z26</f>
        <v>1867</v>
      </c>
      <c r="Y145" s="119">
        <f>Denmark!AA26</f>
        <v>2171</v>
      </c>
      <c r="Z145" s="119">
        <f>Denmark!AB26</f>
        <v>2502</v>
      </c>
      <c r="AA145" s="119">
        <f>Denmark!AC26</f>
        <v>2192</v>
      </c>
      <c r="AB145" s="228">
        <f>Denmark!AD26</f>
        <v>0</v>
      </c>
      <c r="AC145" s="100">
        <f t="shared" si="16"/>
        <v>0.15246430216490103</v>
      </c>
    </row>
    <row r="146" spans="1:29" x14ac:dyDescent="0.2">
      <c r="A146" s="49" t="s">
        <v>7</v>
      </c>
      <c r="B146" s="52">
        <v>5080</v>
      </c>
      <c r="C146" s="52">
        <v>5943</v>
      </c>
      <c r="D146" s="52">
        <v>5156</v>
      </c>
      <c r="E146" s="52">
        <v>2524</v>
      </c>
      <c r="F146" s="52">
        <v>1876</v>
      </c>
      <c r="G146" s="52">
        <v>2132</v>
      </c>
      <c r="H146" s="52">
        <f>France!J27</f>
        <v>3228</v>
      </c>
      <c r="I146" s="52">
        <f>France!K27</f>
        <v>4461</v>
      </c>
      <c r="J146" s="52">
        <f>France!L27</f>
        <v>4421</v>
      </c>
      <c r="K146" s="67">
        <f>France!M27</f>
        <v>3165</v>
      </c>
      <c r="L146" s="67">
        <f>France!N27</f>
        <v>2400</v>
      </c>
      <c r="M146" s="67">
        <f>France!O27</f>
        <v>2056</v>
      </c>
      <c r="N146" s="67">
        <f>France!P27</f>
        <v>2931</v>
      </c>
      <c r="O146" s="67">
        <f>France!Q27</f>
        <v>2760</v>
      </c>
      <c r="P146" s="52">
        <f>France!R27</f>
        <v>2716</v>
      </c>
      <c r="Q146" s="121">
        <f>France!S27</f>
        <v>3176</v>
      </c>
      <c r="R146" s="121">
        <f>France!T27</f>
        <v>2829</v>
      </c>
      <c r="S146" s="121">
        <f>France!U27</f>
        <v>3157</v>
      </c>
      <c r="T146" s="121">
        <f>France!V27</f>
        <v>1943</v>
      </c>
      <c r="U146" s="121">
        <f>France!W27</f>
        <v>2611</v>
      </c>
      <c r="V146" s="121">
        <f>France!X27</f>
        <v>2984</v>
      </c>
      <c r="W146" s="121">
        <f>France!Y27</f>
        <v>2948</v>
      </c>
      <c r="X146" s="121">
        <f>France!Z27</f>
        <v>3393</v>
      </c>
      <c r="Y146" s="121">
        <f>France!AA27</f>
        <v>3866</v>
      </c>
      <c r="Z146" s="121">
        <f>France!AB27</f>
        <v>4462</v>
      </c>
      <c r="AA146" s="121">
        <f>France!AC27</f>
        <v>3614</v>
      </c>
      <c r="AB146" s="227">
        <f>France!AD27</f>
        <v>2929</v>
      </c>
      <c r="AC146" s="100">
        <f t="shared" si="16"/>
        <v>0.15416451112260732</v>
      </c>
    </row>
    <row r="147" spans="1:29" x14ac:dyDescent="0.2">
      <c r="A147" t="s">
        <v>124</v>
      </c>
      <c r="B147" s="6">
        <v>3526</v>
      </c>
      <c r="C147" s="6">
        <v>4177</v>
      </c>
      <c r="D147" s="6">
        <v>4835</v>
      </c>
      <c r="E147" s="6">
        <v>2063</v>
      </c>
      <c r="F147" s="6">
        <v>2955</v>
      </c>
      <c r="G147" s="6">
        <v>2688</v>
      </c>
      <c r="H147" s="6">
        <f>Italy!J24</f>
        <v>2374.65</v>
      </c>
      <c r="I147" s="6">
        <f>Italy!K24</f>
        <v>4286</v>
      </c>
      <c r="J147" s="5">
        <f>Italy!L24</f>
        <v>4726</v>
      </c>
      <c r="K147" s="68">
        <f>Italy!M24</f>
        <v>5198.6000000000004</v>
      </c>
      <c r="L147" s="68">
        <f>Italy!N24</f>
        <v>3255.89</v>
      </c>
      <c r="M147" s="68">
        <f>Italy!O24</f>
        <v>3380</v>
      </c>
      <c r="N147" s="68">
        <f>Italy!P24</f>
        <v>4273.6400000000003</v>
      </c>
      <c r="O147" s="68">
        <f>Italy!Q24</f>
        <v>4258</v>
      </c>
      <c r="P147" s="63">
        <f>Italy!R24</f>
        <v>4730</v>
      </c>
      <c r="Q147" s="124">
        <f>Italy!S24</f>
        <v>4256</v>
      </c>
      <c r="R147" s="124">
        <f>Italy!T24</f>
        <v>4571</v>
      </c>
      <c r="S147" s="124">
        <f>Italy!U24</f>
        <v>4571</v>
      </c>
      <c r="T147" s="124">
        <f>Italy!V24</f>
        <v>3038</v>
      </c>
      <c r="U147" s="124">
        <f>Italy!W24</f>
        <v>3648</v>
      </c>
      <c r="V147" s="124">
        <f>Italy!X24</f>
        <v>3193</v>
      </c>
      <c r="W147" s="124">
        <f>Italy!Y24</f>
        <v>4620</v>
      </c>
      <c r="X147" s="124">
        <f>Italy!Z24</f>
        <v>5353</v>
      </c>
      <c r="Y147" s="124">
        <f>Italy!AA24</f>
        <v>6712.54</v>
      </c>
      <c r="Z147" s="124">
        <f>Italy!AB24</f>
        <v>4935.32</v>
      </c>
      <c r="AA147" s="124">
        <f>Italy!AC24</f>
        <v>4794.4399999999996</v>
      </c>
      <c r="AB147" s="229">
        <f>Italy!AD24</f>
        <v>0</v>
      </c>
      <c r="AC147" s="100">
        <f t="shared" si="16"/>
        <v>-0.26476117833189827</v>
      </c>
    </row>
    <row r="148" spans="1:29" x14ac:dyDescent="0.2">
      <c r="A148" s="7" t="s">
        <v>138</v>
      </c>
      <c r="B148" s="6">
        <v>3648</v>
      </c>
      <c r="C148" s="6">
        <v>3251</v>
      </c>
      <c r="D148" s="6">
        <v>960</v>
      </c>
      <c r="E148" s="6">
        <v>2141</v>
      </c>
      <c r="F148" s="6">
        <v>1844</v>
      </c>
      <c r="G148" s="6">
        <v>2105</v>
      </c>
      <c r="H148" s="6">
        <f>'Pays-Bas'!J26</f>
        <v>2896</v>
      </c>
      <c r="I148" s="6">
        <f>'Pays-Bas'!K26</f>
        <v>2595</v>
      </c>
      <c r="J148" s="5">
        <f>'Pays-Bas'!L26</f>
        <v>1656</v>
      </c>
      <c r="K148" s="25">
        <f>'Pays-Bas'!M26</f>
        <v>2100</v>
      </c>
      <c r="L148" s="25">
        <f>'Pays-Bas'!N26</f>
        <v>1567</v>
      </c>
      <c r="M148" s="25">
        <f>'Pays-Bas'!O26</f>
        <v>1347</v>
      </c>
      <c r="N148" s="25">
        <f>'Pays-Bas'!P26</f>
        <v>1673</v>
      </c>
      <c r="O148" s="25">
        <f>'Pays-Bas'!Q26</f>
        <v>804</v>
      </c>
      <c r="P148" s="6">
        <f>'Pays-Bas'!R26</f>
        <v>1271</v>
      </c>
      <c r="Q148" s="119">
        <f>'Pays-Bas'!S26</f>
        <v>1662</v>
      </c>
      <c r="R148" s="119">
        <f>'Pays-Bas'!T26</f>
        <v>1337</v>
      </c>
      <c r="S148" s="119">
        <f>'Pays-Bas'!U26</f>
        <v>809</v>
      </c>
      <c r="T148" s="119">
        <f>'Pays-Bas'!V26</f>
        <v>611</v>
      </c>
      <c r="U148" s="119">
        <f>'Pays-Bas'!W26</f>
        <v>803</v>
      </c>
      <c r="V148" s="119"/>
      <c r="W148" s="119">
        <f>'Pays-Bas'!Y26</f>
        <v>1053</v>
      </c>
      <c r="X148" s="119">
        <f>'Pays-Bas'!Z26</f>
        <v>703</v>
      </c>
      <c r="Y148" s="119"/>
      <c r="Z148" s="119"/>
      <c r="AA148" s="119"/>
      <c r="AB148" s="228"/>
      <c r="AC148" s="100" t="e">
        <f t="shared" si="16"/>
        <v>#DIV/0!</v>
      </c>
    </row>
    <row r="149" spans="1:29" x14ac:dyDescent="0.2">
      <c r="A149" s="7" t="s">
        <v>125</v>
      </c>
      <c r="B149" s="6">
        <v>1141</v>
      </c>
      <c r="C149" s="6">
        <v>1463</v>
      </c>
      <c r="D149" s="6">
        <v>1137</v>
      </c>
      <c r="E149" s="6">
        <v>657</v>
      </c>
      <c r="F149" s="6">
        <v>397</v>
      </c>
      <c r="G149" s="6">
        <v>339</v>
      </c>
      <c r="H149" s="6">
        <f>Sweden!J26</f>
        <v>288</v>
      </c>
      <c r="I149" s="6">
        <f>Sweden!K26</f>
        <v>285</v>
      </c>
      <c r="J149" s="6">
        <f>Sweden!L26</f>
        <v>0</v>
      </c>
      <c r="K149" s="6">
        <f>Sweden!M26</f>
        <v>0</v>
      </c>
      <c r="L149" s="6">
        <f>Sweden!N26</f>
        <v>0</v>
      </c>
      <c r="M149" s="6">
        <f>Sweden!O26</f>
        <v>0</v>
      </c>
      <c r="N149" s="6">
        <f>Sweden!P26</f>
        <v>10</v>
      </c>
      <c r="O149" s="25">
        <f>Sweden!Q26</f>
        <v>4</v>
      </c>
      <c r="P149" s="6">
        <f>Sweden!R26</f>
        <v>4</v>
      </c>
      <c r="Q149" s="119">
        <f>Sweden!S26</f>
        <v>0</v>
      </c>
      <c r="R149" s="119">
        <f>Sweden!T26</f>
        <v>0</v>
      </c>
      <c r="S149" s="119">
        <f>Sweden!U26</f>
        <v>0</v>
      </c>
      <c r="T149" s="119">
        <f>Sweden!V26</f>
        <v>0</v>
      </c>
      <c r="U149" s="119">
        <f>Sweden!W26</f>
        <v>0</v>
      </c>
      <c r="V149" s="119">
        <f>Sweden!X26</f>
        <v>0</v>
      </c>
      <c r="W149" s="119">
        <f>Sweden!Y26</f>
        <v>34</v>
      </c>
      <c r="X149" s="119">
        <f>Sweden!Z26</f>
        <v>0</v>
      </c>
      <c r="Y149" s="119">
        <f>Sweden!AA26</f>
        <v>0</v>
      </c>
      <c r="Z149" s="119">
        <f>Sweden!AB26</f>
        <v>0</v>
      </c>
      <c r="AA149" s="119">
        <f>Sweden!AC26</f>
        <v>0</v>
      </c>
      <c r="AB149" s="228">
        <f>Sweden!AD26</f>
        <v>0</v>
      </c>
      <c r="AC149" s="100" t="e">
        <f t="shared" si="16"/>
        <v>#DIV/0!</v>
      </c>
    </row>
    <row r="150" spans="1:29" x14ac:dyDescent="0.2">
      <c r="Z150" s="146"/>
      <c r="AC150" s="176"/>
    </row>
    <row r="151" spans="1:29" x14ac:dyDescent="0.2">
      <c r="Z151" s="146"/>
      <c r="AC151" s="176"/>
    </row>
    <row r="152" spans="1:29" ht="15.75" x14ac:dyDescent="0.25">
      <c r="A152" s="102" t="s">
        <v>149</v>
      </c>
      <c r="B152" s="44">
        <v>1997</v>
      </c>
      <c r="C152" s="44">
        <v>1998</v>
      </c>
      <c r="D152" s="44">
        <v>1999</v>
      </c>
      <c r="E152" s="44">
        <v>2000</v>
      </c>
      <c r="F152" s="44">
        <v>2001</v>
      </c>
      <c r="G152" s="44">
        <v>2002</v>
      </c>
      <c r="H152" s="109">
        <v>2003</v>
      </c>
      <c r="I152" s="109">
        <v>2004</v>
      </c>
      <c r="J152" s="109">
        <v>2005</v>
      </c>
      <c r="K152" s="110">
        <v>2006</v>
      </c>
      <c r="L152" s="109">
        <v>2007</v>
      </c>
      <c r="M152" s="111">
        <v>2008</v>
      </c>
      <c r="N152" s="109">
        <v>2009</v>
      </c>
      <c r="O152" s="109">
        <v>2010</v>
      </c>
      <c r="P152" s="111">
        <v>2011</v>
      </c>
      <c r="Q152" s="109">
        <v>2012</v>
      </c>
      <c r="R152" s="109">
        <v>2013</v>
      </c>
      <c r="S152" s="109">
        <v>2014</v>
      </c>
      <c r="T152" s="109">
        <v>2015</v>
      </c>
      <c r="U152" s="109">
        <v>2016</v>
      </c>
      <c r="V152" s="109">
        <v>2017</v>
      </c>
      <c r="W152" s="109">
        <v>2018</v>
      </c>
      <c r="X152" s="109">
        <v>2019</v>
      </c>
      <c r="Y152" s="109">
        <v>2020</v>
      </c>
      <c r="Z152" s="109">
        <v>2021</v>
      </c>
      <c r="AA152" s="109">
        <v>2022</v>
      </c>
      <c r="AB152" s="224" t="s">
        <v>119</v>
      </c>
      <c r="AC152" s="199" t="s">
        <v>120</v>
      </c>
    </row>
    <row r="153" spans="1:29" x14ac:dyDescent="0.2">
      <c r="A153" s="25" t="s">
        <v>122</v>
      </c>
      <c r="B153" s="119">
        <v>1193</v>
      </c>
      <c r="C153" s="119">
        <v>1277</v>
      </c>
      <c r="D153" s="119">
        <v>1264</v>
      </c>
      <c r="E153" s="119">
        <v>1394</v>
      </c>
      <c r="F153" s="119">
        <v>1258</v>
      </c>
      <c r="G153" s="119">
        <v>1047</v>
      </c>
      <c r="H153" s="119">
        <f>Germany!J30</f>
        <v>997</v>
      </c>
      <c r="I153" s="58">
        <f>Germany!K30</f>
        <v>956</v>
      </c>
      <c r="J153" s="6">
        <f>Germany!L30</f>
        <v>1518</v>
      </c>
      <c r="K153" s="6">
        <f>Germany!M30</f>
        <v>2236</v>
      </c>
      <c r="L153" s="6">
        <f>Germany!N30</f>
        <v>2338</v>
      </c>
      <c r="M153" s="6">
        <f>Germany!O30</f>
        <v>1868</v>
      </c>
      <c r="N153" s="6">
        <f>Germany!P30</f>
        <v>1823</v>
      </c>
      <c r="O153" s="25">
        <f>Germany!Q30</f>
        <v>2902</v>
      </c>
      <c r="P153" s="6">
        <f>Germany!R30</f>
        <v>2688</v>
      </c>
      <c r="Q153" s="119">
        <f>Germany!S30</f>
        <v>2450</v>
      </c>
      <c r="R153" s="119">
        <f>Germany!T30</f>
        <v>2229</v>
      </c>
      <c r="S153" s="119">
        <f>Germany!U30</f>
        <v>2322</v>
      </c>
      <c r="T153" s="119">
        <f>Germany!V30</f>
        <v>2507</v>
      </c>
      <c r="U153" s="119">
        <f>Germany!W30</f>
        <v>2888</v>
      </c>
      <c r="V153" s="119">
        <f>Germany!X30</f>
        <v>3209</v>
      </c>
      <c r="W153" s="119">
        <f>Germany!Y30</f>
        <v>3122</v>
      </c>
      <c r="X153" s="119">
        <f>Germany!Z30</f>
        <v>2668</v>
      </c>
      <c r="Y153" s="119">
        <f>Germany!AA30</f>
        <v>2759</v>
      </c>
      <c r="Z153" s="119">
        <f>Germany!AB30</f>
        <v>3044</v>
      </c>
      <c r="AA153" s="119">
        <f>Germany!AC30</f>
        <v>2331</v>
      </c>
      <c r="AB153" s="228">
        <f>Germany!AD30</f>
        <v>0</v>
      </c>
      <c r="AC153" s="100">
        <f>Z153/Y153-1</f>
        <v>0.1032982964842335</v>
      </c>
    </row>
    <row r="154" spans="1:29" x14ac:dyDescent="0.2">
      <c r="A154" s="25" t="s">
        <v>123</v>
      </c>
      <c r="B154" s="6">
        <v>552</v>
      </c>
      <c r="C154" s="6">
        <v>677</v>
      </c>
      <c r="D154" s="6">
        <v>823</v>
      </c>
      <c r="E154" s="6">
        <v>912</v>
      </c>
      <c r="F154" s="6">
        <v>435</v>
      </c>
      <c r="G154" s="6">
        <v>387</v>
      </c>
      <c r="H154" s="6">
        <f>Denmark!J29</f>
        <v>503</v>
      </c>
      <c r="I154" s="6">
        <f>Denmark!K29</f>
        <v>438</v>
      </c>
      <c r="J154" s="6">
        <f>Denmark!L29</f>
        <v>327</v>
      </c>
      <c r="K154" s="25">
        <f>Denmark!M29</f>
        <v>424</v>
      </c>
      <c r="L154" s="25">
        <f>Denmark!N29</f>
        <v>403</v>
      </c>
      <c r="M154" s="25">
        <f>Denmark!O29</f>
        <v>524</v>
      </c>
      <c r="N154" s="25">
        <f>Denmark!P29</f>
        <v>362</v>
      </c>
      <c r="O154" s="25">
        <f>Denmark!Q29</f>
        <v>616</v>
      </c>
      <c r="P154" s="6">
        <f>Denmark!R29</f>
        <v>320</v>
      </c>
      <c r="Q154" s="119">
        <f>Denmark!S29</f>
        <v>310</v>
      </c>
      <c r="R154" s="119">
        <f>Denmark!T29</f>
        <v>435</v>
      </c>
      <c r="S154" s="119">
        <f>Denmark!U29</f>
        <v>463</v>
      </c>
      <c r="T154" s="119">
        <f>Denmark!V29</f>
        <v>299</v>
      </c>
      <c r="U154" s="119">
        <f>Denmark!W29</f>
        <v>139</v>
      </c>
      <c r="V154" s="119">
        <f>Denmark!X29</f>
        <v>59</v>
      </c>
      <c r="W154" s="119">
        <f>Denmark!Y29</f>
        <v>247</v>
      </c>
      <c r="X154" s="119">
        <f>Denmark!Z29</f>
        <v>114</v>
      </c>
      <c r="Y154" s="119">
        <f>Denmark!AA29</f>
        <v>475</v>
      </c>
      <c r="Z154" s="119">
        <f>Denmark!AB29</f>
        <v>392</v>
      </c>
      <c r="AA154" s="119">
        <f>Denmark!AC29</f>
        <v>448</v>
      </c>
      <c r="AB154" s="228">
        <f>Denmark!AD29</f>
        <v>0</v>
      </c>
      <c r="AC154" s="100">
        <f t="shared" ref="AC154:AC158" si="17">Z154/Y154-1</f>
        <v>-0.17473684210526319</v>
      </c>
    </row>
    <row r="155" spans="1:29" x14ac:dyDescent="0.2">
      <c r="A155" s="49" t="s">
        <v>7</v>
      </c>
      <c r="B155" s="52">
        <v>2557</v>
      </c>
      <c r="C155" s="52">
        <v>3806</v>
      </c>
      <c r="D155" s="52">
        <v>5232</v>
      </c>
      <c r="E155" s="52">
        <v>5740</v>
      </c>
      <c r="F155" s="52">
        <v>3706</v>
      </c>
      <c r="G155" s="52">
        <v>1940</v>
      </c>
      <c r="H155" s="52">
        <f>France!J30</f>
        <v>2417</v>
      </c>
      <c r="I155" s="52">
        <f>France!K30</f>
        <v>3271</v>
      </c>
      <c r="J155" s="52">
        <f>France!L30</f>
        <v>3707</v>
      </c>
      <c r="K155" s="67">
        <f>France!M30</f>
        <v>4281</v>
      </c>
      <c r="L155" s="67">
        <f>France!N30</f>
        <v>4006</v>
      </c>
      <c r="M155" s="67">
        <f>France!O30</f>
        <v>2741</v>
      </c>
      <c r="N155" s="67">
        <f>France!P30</f>
        <v>4428</v>
      </c>
      <c r="O155" s="67">
        <f>France!Q30</f>
        <v>4236</v>
      </c>
      <c r="P155" s="52">
        <f>France!R30</f>
        <v>3177</v>
      </c>
      <c r="Q155" s="121">
        <f>France!S30</f>
        <v>3807</v>
      </c>
      <c r="R155" s="121">
        <f>France!T30</f>
        <v>3405</v>
      </c>
      <c r="S155" s="121">
        <f>France!U30</f>
        <v>4476</v>
      </c>
      <c r="T155" s="121">
        <f>France!V30</f>
        <v>6362</v>
      </c>
      <c r="U155" s="121">
        <f>France!W30</f>
        <v>7833</v>
      </c>
      <c r="V155" s="121">
        <f>France!X30</f>
        <v>9968</v>
      </c>
      <c r="W155" s="121">
        <f>France!Y30</f>
        <v>10203</v>
      </c>
      <c r="X155" s="121">
        <f>France!Z30</f>
        <v>7605</v>
      </c>
      <c r="Y155" s="121">
        <f>France!AA30</f>
        <v>6630</v>
      </c>
      <c r="Z155" s="121">
        <f>France!AB30</f>
        <v>6155</v>
      </c>
      <c r="AA155" s="121">
        <f>France!AC30</f>
        <v>5273</v>
      </c>
      <c r="AB155" s="227">
        <f>France!AD30</f>
        <v>3225</v>
      </c>
      <c r="AC155" s="100">
        <f t="shared" si="17"/>
        <v>-7.1644042232277494E-2</v>
      </c>
    </row>
    <row r="156" spans="1:29" x14ac:dyDescent="0.2">
      <c r="A156" t="s">
        <v>124</v>
      </c>
      <c r="B156" s="6">
        <v>469</v>
      </c>
      <c r="C156" s="6">
        <v>278</v>
      </c>
      <c r="D156" s="6">
        <v>389</v>
      </c>
      <c r="E156" s="6">
        <v>312</v>
      </c>
      <c r="F156" s="6">
        <v>223</v>
      </c>
      <c r="G156" s="6">
        <v>13</v>
      </c>
      <c r="H156" s="6">
        <f>Italy!J31</f>
        <v>13</v>
      </c>
      <c r="I156" s="6">
        <f>Italy!K31</f>
        <v>24</v>
      </c>
      <c r="J156" s="5">
        <f>Italy!L31</f>
        <v>90</v>
      </c>
      <c r="K156" s="68">
        <f>Italy!M31</f>
        <v>99.000000000000014</v>
      </c>
      <c r="L156" s="68">
        <f>Italy!N31</f>
        <v>15.59</v>
      </c>
      <c r="M156" s="68">
        <f>Italy!O31</f>
        <v>54</v>
      </c>
      <c r="N156" s="68">
        <f>Italy!P31</f>
        <v>83.16</v>
      </c>
      <c r="O156" s="68">
        <f>Italy!Q31</f>
        <v>134</v>
      </c>
      <c r="P156" s="63">
        <f>Italy!R31</f>
        <v>154</v>
      </c>
      <c r="Q156" s="121">
        <f>Italy!S31</f>
        <v>105</v>
      </c>
      <c r="R156" s="121">
        <f>Italy!T31</f>
        <v>113</v>
      </c>
      <c r="S156" s="121">
        <f>Italy!U31</f>
        <v>184</v>
      </c>
      <c r="T156" s="121">
        <f>Italy!V31</f>
        <v>224</v>
      </c>
      <c r="U156" s="121">
        <f>Italy!W31</f>
        <v>151</v>
      </c>
      <c r="V156" s="121">
        <f>Italy!X31</f>
        <v>189</v>
      </c>
      <c r="W156" s="121">
        <f>Italy!Y31</f>
        <v>215</v>
      </c>
      <c r="X156" s="121">
        <f>Italy!Z31</f>
        <v>268</v>
      </c>
      <c r="Y156" s="121">
        <f>Italy!AA31</f>
        <v>330.26</v>
      </c>
      <c r="Z156" s="121">
        <f>Italy!AB31</f>
        <v>336.45</v>
      </c>
      <c r="AA156" s="121">
        <f>Italy!AC31</f>
        <v>408.35</v>
      </c>
      <c r="AB156" s="227">
        <f>Italy!AD31</f>
        <v>0</v>
      </c>
      <c r="AC156" s="100">
        <f t="shared" si="17"/>
        <v>1.8742808696178725E-2</v>
      </c>
    </row>
    <row r="157" spans="1:29" x14ac:dyDescent="0.2">
      <c r="A157" s="7" t="s">
        <v>125</v>
      </c>
      <c r="B157" s="6">
        <v>1107</v>
      </c>
      <c r="C157" s="6">
        <v>1400</v>
      </c>
      <c r="D157" s="6">
        <v>1634</v>
      </c>
      <c r="E157" s="6">
        <v>1950</v>
      </c>
      <c r="F157" s="6">
        <v>2234</v>
      </c>
      <c r="G157" s="6">
        <v>2666</v>
      </c>
      <c r="H157" s="6">
        <f>Sweden!J29</f>
        <v>2790.8999999999996</v>
      </c>
      <c r="I157" s="6">
        <f>Sweden!K29</f>
        <v>2041</v>
      </c>
      <c r="J157" s="6">
        <f>Sweden!L29</f>
        <v>1510</v>
      </c>
      <c r="K157" s="25">
        <f>Sweden!M29</f>
        <v>1719</v>
      </c>
      <c r="L157" s="25">
        <f>Sweden!N29</f>
        <v>2087</v>
      </c>
      <c r="M157" s="25">
        <f>Sweden!O29</f>
        <v>1901</v>
      </c>
      <c r="N157" s="25">
        <f>Sweden!P29</f>
        <v>1998</v>
      </c>
      <c r="O157" s="25">
        <f>Sweden!Q29</f>
        <v>2675</v>
      </c>
      <c r="P157" s="6">
        <f>Sweden!R29</f>
        <v>2683</v>
      </c>
      <c r="Q157" s="121">
        <f>Sweden!S29</f>
        <v>2750</v>
      </c>
      <c r="R157" s="121">
        <f>Sweden!T29</f>
        <v>2197</v>
      </c>
      <c r="S157" s="121">
        <f>Sweden!U29</f>
        <v>2331</v>
      </c>
      <c r="T157" s="121">
        <f>Sweden!V29</f>
        <v>2899</v>
      </c>
      <c r="U157" s="121">
        <f>Sweden!W29</f>
        <v>3065.8</v>
      </c>
      <c r="V157" s="121">
        <f>Sweden!X29</f>
        <v>2872</v>
      </c>
      <c r="W157" s="121">
        <f>Sweden!Y29</f>
        <v>2718</v>
      </c>
      <c r="X157" s="121">
        <f>Sweden!Z29</f>
        <v>2614</v>
      </c>
      <c r="Y157" s="121">
        <f>Sweden!AA29</f>
        <v>2671</v>
      </c>
      <c r="Z157" s="121">
        <f>Sweden!AB29</f>
        <v>2218</v>
      </c>
      <c r="AA157" s="121">
        <f>Sweden!AC29</f>
        <v>2121</v>
      </c>
      <c r="AB157" s="227">
        <f>Sweden!AD29</f>
        <v>2219</v>
      </c>
      <c r="AC157" s="100">
        <f t="shared" si="17"/>
        <v>-0.16959940097341819</v>
      </c>
    </row>
    <row r="158" spans="1:29" x14ac:dyDescent="0.2">
      <c r="A158" s="7" t="s">
        <v>127</v>
      </c>
      <c r="B158" s="6">
        <v>521</v>
      </c>
      <c r="C158" s="6">
        <v>672</v>
      </c>
      <c r="D158" s="6">
        <v>533</v>
      </c>
      <c r="E158" s="6">
        <v>552</v>
      </c>
      <c r="F158" s="6">
        <v>668</v>
      </c>
      <c r="G158" s="6">
        <v>628</v>
      </c>
      <c r="H158" s="6">
        <f>Finland!J29</f>
        <v>470</v>
      </c>
      <c r="I158" s="6">
        <f>Finland!K29</f>
        <v>450</v>
      </c>
      <c r="J158" s="5">
        <f>Finland!L29</f>
        <v>660</v>
      </c>
      <c r="K158" s="7">
        <f>Finland!M29</f>
        <v>740</v>
      </c>
      <c r="L158" s="7">
        <f>Finland!N29</f>
        <v>780</v>
      </c>
      <c r="M158" s="7">
        <f>Finland!O29</f>
        <v>598</v>
      </c>
      <c r="N158" s="7">
        <f>Finland!P29</f>
        <v>384</v>
      </c>
      <c r="O158" s="7">
        <f>Finland!Q29</f>
        <v>400</v>
      </c>
      <c r="P158" s="5">
        <f>Finland!R29</f>
        <v>463</v>
      </c>
      <c r="Q158" s="121">
        <f>Finland!S29</f>
        <v>493</v>
      </c>
      <c r="R158" s="121">
        <f>Finland!T29</f>
        <v>584.51</v>
      </c>
      <c r="S158" s="121">
        <f>Finland!U29</f>
        <v>542</v>
      </c>
      <c r="T158" s="121">
        <f>Finland!V29</f>
        <v>590</v>
      </c>
      <c r="U158" s="121">
        <f>Finland!W29</f>
        <v>511</v>
      </c>
      <c r="V158" s="121">
        <f>Finland!X29</f>
        <v>589</v>
      </c>
      <c r="W158" s="121">
        <f>Finland!Y29</f>
        <v>587</v>
      </c>
      <c r="X158" s="121">
        <f>Finland!Z29</f>
        <v>438</v>
      </c>
      <c r="Y158" s="121">
        <f>Finland!AA29</f>
        <v>535</v>
      </c>
      <c r="Z158" s="121">
        <f>Finland!AB29</f>
        <v>387</v>
      </c>
      <c r="AA158" s="121">
        <f>Finland!AC29</f>
        <v>640</v>
      </c>
      <c r="AB158" s="227">
        <f>Finland!AD29</f>
        <v>658</v>
      </c>
      <c r="AC158" s="100">
        <f t="shared" si="17"/>
        <v>-0.27663551401869158</v>
      </c>
    </row>
    <row r="159" spans="1:29" x14ac:dyDescent="0.2">
      <c r="A159" t="s">
        <v>145</v>
      </c>
      <c r="Q159" s="146">
        <f>+'Rep Tcheque'!S29</f>
        <v>4610</v>
      </c>
      <c r="R159" s="146">
        <f>+'Rep Tcheque'!T29</f>
        <v>4668</v>
      </c>
      <c r="S159" s="146">
        <f>+'Rep Tcheque'!U29</f>
        <v>4815</v>
      </c>
      <c r="T159" s="146">
        <f>+'Rep Tcheque'!V29</f>
        <v>4430</v>
      </c>
      <c r="U159" s="146">
        <v>5079</v>
      </c>
      <c r="V159" s="146">
        <v>6783</v>
      </c>
      <c r="W159" s="146">
        <v>5954</v>
      </c>
      <c r="X159" s="146">
        <v>5971</v>
      </c>
      <c r="Z159" s="146"/>
      <c r="AC159" s="176"/>
    </row>
    <row r="160" spans="1:29" x14ac:dyDescent="0.2">
      <c r="A160" t="s">
        <v>146</v>
      </c>
      <c r="Q160" s="146">
        <f>+Pologne!S29</f>
        <v>924</v>
      </c>
      <c r="R160" s="146">
        <f>+Pologne!T29</f>
        <v>1737</v>
      </c>
      <c r="S160" s="146">
        <f>+Pologne!U29</f>
        <v>1871</v>
      </c>
      <c r="T160" s="146">
        <f>+Pologne!V29</f>
        <v>2743</v>
      </c>
      <c r="U160" s="146">
        <f>+Pologne!W29</f>
        <v>3628</v>
      </c>
      <c r="V160" s="146">
        <v>5109</v>
      </c>
      <c r="W160" s="146">
        <v>6013</v>
      </c>
      <c r="X160" s="146">
        <v>4310</v>
      </c>
      <c r="Z160" s="146"/>
      <c r="AC160" s="176"/>
    </row>
    <row r="161" spans="1:29" ht="15.75" x14ac:dyDescent="0.25">
      <c r="A161" s="102" t="s">
        <v>150</v>
      </c>
      <c r="B161" s="44">
        <v>1997</v>
      </c>
      <c r="C161" s="44">
        <v>1998</v>
      </c>
      <c r="D161" s="44">
        <v>1999</v>
      </c>
      <c r="E161" s="44">
        <v>2000</v>
      </c>
      <c r="F161" s="44">
        <v>2001</v>
      </c>
      <c r="G161" s="44">
        <v>2002</v>
      </c>
      <c r="H161" s="109">
        <v>2003</v>
      </c>
      <c r="I161" s="109">
        <v>2004</v>
      </c>
      <c r="J161" s="109">
        <v>2005</v>
      </c>
      <c r="K161" s="110">
        <v>2006</v>
      </c>
      <c r="L161" s="109">
        <v>2007</v>
      </c>
      <c r="M161" s="111">
        <v>2008</v>
      </c>
      <c r="N161" s="109">
        <v>2009</v>
      </c>
      <c r="O161" s="109">
        <v>2010</v>
      </c>
      <c r="P161" s="111">
        <v>2011</v>
      </c>
      <c r="Q161" s="109">
        <v>2012</v>
      </c>
      <c r="R161" s="109">
        <v>2013</v>
      </c>
      <c r="S161" s="109">
        <v>2014</v>
      </c>
      <c r="T161" s="109">
        <v>2015</v>
      </c>
      <c r="U161" s="109">
        <v>2016</v>
      </c>
      <c r="V161" s="109">
        <v>2017</v>
      </c>
      <c r="W161" s="109">
        <v>2018</v>
      </c>
      <c r="X161" s="109">
        <v>2019</v>
      </c>
      <c r="Y161" s="109">
        <v>2020</v>
      </c>
      <c r="Z161" s="109">
        <v>2021</v>
      </c>
      <c r="AA161" s="109">
        <v>2022</v>
      </c>
      <c r="AB161" s="224" t="s">
        <v>119</v>
      </c>
      <c r="AC161" s="199" t="s">
        <v>120</v>
      </c>
    </row>
    <row r="162" spans="1:29" x14ac:dyDescent="0.2">
      <c r="A162" s="25" t="s">
        <v>122</v>
      </c>
      <c r="B162" s="6">
        <v>378</v>
      </c>
      <c r="C162" s="6">
        <v>488</v>
      </c>
      <c r="D162" s="6">
        <v>361</v>
      </c>
      <c r="E162" s="6">
        <v>297</v>
      </c>
      <c r="F162" s="6">
        <v>300</v>
      </c>
      <c r="G162" s="6">
        <v>211</v>
      </c>
      <c r="H162" s="6">
        <f>Germany!J31</f>
        <v>193</v>
      </c>
      <c r="I162" s="58">
        <f>Germany!K31</f>
        <v>167</v>
      </c>
      <c r="J162" s="6">
        <f>Germany!L31</f>
        <v>168</v>
      </c>
      <c r="K162" s="25">
        <f>Germany!M31</f>
        <v>161</v>
      </c>
      <c r="L162" s="25">
        <f>Germany!N31</f>
        <v>180</v>
      </c>
      <c r="M162" s="25">
        <f>Germany!O31</f>
        <v>59</v>
      </c>
      <c r="N162" s="25">
        <f>Germany!P31</f>
        <v>0</v>
      </c>
      <c r="O162" s="25">
        <f>Germany!Q31</f>
        <v>14</v>
      </c>
      <c r="P162" s="6">
        <f>Germany!R31</f>
        <v>45</v>
      </c>
      <c r="Q162" s="119">
        <f>Germany!S31</f>
        <v>36</v>
      </c>
      <c r="R162" s="119">
        <f>Germany!T31</f>
        <v>23</v>
      </c>
      <c r="S162" s="119">
        <f>Germany!U31</f>
        <v>36</v>
      </c>
      <c r="T162" s="119">
        <f>Germany!V31</f>
        <v>15</v>
      </c>
      <c r="U162" s="119">
        <f>Germany!W31</f>
        <v>25</v>
      </c>
      <c r="V162" s="119">
        <f>Germany!X31</f>
        <v>24</v>
      </c>
      <c r="W162" s="119">
        <f>Germany!Y31</f>
        <v>13</v>
      </c>
      <c r="X162" s="119">
        <f>Germany!Z31</f>
        <v>0</v>
      </c>
      <c r="Y162" s="119">
        <f>Germany!AA31</f>
        <v>1</v>
      </c>
      <c r="Z162" s="119">
        <f>Germany!AB31</f>
        <v>1</v>
      </c>
      <c r="AA162" s="119">
        <f>Germany!AC31</f>
        <v>0</v>
      </c>
      <c r="AB162" s="228">
        <f>Germany!AD31</f>
        <v>0</v>
      </c>
      <c r="AC162" s="100">
        <f>Z162/Y162-1</f>
        <v>0</v>
      </c>
    </row>
    <row r="163" spans="1:29" x14ac:dyDescent="0.2">
      <c r="A163" s="25" t="s">
        <v>123</v>
      </c>
      <c r="B163" s="6">
        <v>2254</v>
      </c>
      <c r="C163" s="6">
        <v>3158</v>
      </c>
      <c r="D163" s="6">
        <v>3383</v>
      </c>
      <c r="E163" s="6">
        <v>3516</v>
      </c>
      <c r="F163" s="6">
        <v>3718</v>
      </c>
      <c r="G163" s="6">
        <v>3466</v>
      </c>
      <c r="H163" s="6">
        <f>Denmark!J30</f>
        <v>3734</v>
      </c>
      <c r="I163" s="6">
        <f>Denmark!K30</f>
        <v>3866</v>
      </c>
      <c r="J163" s="6">
        <f>Denmark!L30</f>
        <v>4757</v>
      </c>
      <c r="K163" s="25">
        <f>Denmark!M30</f>
        <v>5541</v>
      </c>
      <c r="L163" s="25">
        <f>Denmark!N30</f>
        <v>4300</v>
      </c>
      <c r="M163" s="25">
        <f>Denmark!O30</f>
        <v>3889</v>
      </c>
      <c r="N163" s="25">
        <f>Denmark!P30</f>
        <v>3938</v>
      </c>
      <c r="O163" s="25">
        <f>Denmark!Q30</f>
        <v>3779</v>
      </c>
      <c r="P163" s="6">
        <f>Denmark!R30</f>
        <v>3398</v>
      </c>
      <c r="Q163" s="119">
        <f>Denmark!S30</f>
        <v>3129</v>
      </c>
      <c r="R163" s="119">
        <f>Denmark!T30</f>
        <v>3699</v>
      </c>
      <c r="S163" s="119">
        <f>Denmark!U30</f>
        <v>2724</v>
      </c>
      <c r="T163" s="119">
        <f>Denmark!V30</f>
        <v>3403</v>
      </c>
      <c r="U163" s="119">
        <f>Denmark!W30</f>
        <v>3619</v>
      </c>
      <c r="V163" s="119">
        <f>Denmark!X30</f>
        <v>3899</v>
      </c>
      <c r="W163" s="119">
        <f>Denmark!Y30</f>
        <v>4375</v>
      </c>
      <c r="X163" s="119">
        <f>Denmark!Z30</f>
        <v>3474</v>
      </c>
      <c r="Y163" s="119">
        <f>Denmark!AA30</f>
        <v>5025</v>
      </c>
      <c r="Z163" s="119">
        <f>Denmark!AB30</f>
        <v>5672</v>
      </c>
      <c r="AA163" s="119">
        <f>Denmark!AC30</f>
        <v>4984</v>
      </c>
      <c r="AB163" s="228">
        <f>Denmark!AD30</f>
        <v>0</v>
      </c>
      <c r="AC163" s="100">
        <f t="shared" ref="AC163:AC165" si="18">Z163/Y163-1</f>
        <v>0.12875621890547273</v>
      </c>
    </row>
    <row r="164" spans="1:29" x14ac:dyDescent="0.2">
      <c r="A164" s="280" t="s">
        <v>125</v>
      </c>
      <c r="B164" s="6">
        <v>142</v>
      </c>
      <c r="C164" s="6">
        <v>180</v>
      </c>
      <c r="D164" s="6">
        <v>270</v>
      </c>
      <c r="E164" s="6">
        <v>261</v>
      </c>
      <c r="F164" s="6">
        <v>481</v>
      </c>
      <c r="G164" s="6">
        <v>396</v>
      </c>
      <c r="H164" s="6">
        <f>Sweden!J30</f>
        <v>509.2</v>
      </c>
      <c r="I164" s="6">
        <f>Sweden!K30</f>
        <v>571</v>
      </c>
      <c r="J164" s="5">
        <f>Sweden!L30</f>
        <v>671</v>
      </c>
      <c r="K164" s="25">
        <f>Sweden!M30</f>
        <v>840</v>
      </c>
      <c r="L164" s="25">
        <f>Sweden!N30</f>
        <v>644</v>
      </c>
      <c r="M164" s="25">
        <f>Sweden!O30</f>
        <v>632</v>
      </c>
      <c r="N164" s="25">
        <f>Sweden!P30</f>
        <v>513</v>
      </c>
      <c r="O164" s="25">
        <f>Sweden!Q30</f>
        <v>622</v>
      </c>
      <c r="P164" s="6">
        <f>Sweden!R30</f>
        <v>684</v>
      </c>
      <c r="Q164" s="119">
        <f>Sweden!S30</f>
        <v>735</v>
      </c>
      <c r="R164" s="119">
        <f>Sweden!T30</f>
        <v>700</v>
      </c>
      <c r="S164" s="119">
        <f>Sweden!U30</f>
        <v>726</v>
      </c>
      <c r="T164" s="119">
        <f>Sweden!V30</f>
        <v>1022</v>
      </c>
      <c r="U164" s="119">
        <f>Sweden!W30</f>
        <v>1201</v>
      </c>
      <c r="V164" s="119">
        <f>Sweden!X30</f>
        <v>1645.6</v>
      </c>
      <c r="W164" s="119">
        <f>Sweden!Y30</f>
        <v>1886</v>
      </c>
      <c r="X164" s="119">
        <f>Sweden!Z30</f>
        <v>1246</v>
      </c>
      <c r="Y164" s="119">
        <f>Sweden!AA30</f>
        <v>2117</v>
      </c>
      <c r="Z164" s="119">
        <f>Sweden!AB30</f>
        <v>2244</v>
      </c>
      <c r="AA164" s="119">
        <f>Sweden!AC30</f>
        <v>2343</v>
      </c>
      <c r="AB164" s="228">
        <f>Sweden!AD30</f>
        <v>2013</v>
      </c>
      <c r="AC164" s="100">
        <f t="shared" si="18"/>
        <v>5.99905526688711E-2</v>
      </c>
    </row>
    <row r="165" spans="1:29" x14ac:dyDescent="0.2">
      <c r="A165" s="280" t="s">
        <v>7</v>
      </c>
      <c r="B165" s="6"/>
      <c r="C165" s="6"/>
      <c r="D165" s="6"/>
      <c r="E165" s="6"/>
      <c r="F165" s="6"/>
      <c r="G165" s="6"/>
      <c r="H165" s="6"/>
      <c r="I165" s="6"/>
      <c r="J165" s="5"/>
      <c r="K165" s="25"/>
      <c r="L165" s="25"/>
      <c r="M165" s="25"/>
      <c r="N165" s="25"/>
      <c r="O165" s="25"/>
      <c r="P165" s="6"/>
      <c r="Q165" s="119">
        <f>France!S31</f>
        <v>49</v>
      </c>
      <c r="R165" s="119">
        <f>France!T31</f>
        <v>15</v>
      </c>
      <c r="S165" s="119">
        <f>France!U31</f>
        <v>5</v>
      </c>
      <c r="T165" s="119">
        <f>France!V31</f>
        <v>7</v>
      </c>
      <c r="U165" s="119">
        <f>France!W31</f>
        <v>0</v>
      </c>
      <c r="V165" s="119">
        <f>France!X31</f>
        <v>0</v>
      </c>
      <c r="W165" s="119">
        <f>France!Y31</f>
        <v>81</v>
      </c>
      <c r="X165" s="119">
        <f>France!Z31</f>
        <v>75.55</v>
      </c>
      <c r="Y165" s="119">
        <f>France!AA31</f>
        <v>55.25</v>
      </c>
      <c r="Z165" s="119">
        <f>France!AB31</f>
        <v>50.07</v>
      </c>
      <c r="AA165" s="119">
        <f>France!AC31</f>
        <v>25.75</v>
      </c>
      <c r="AB165" s="228">
        <f>France!AD31</f>
        <v>0</v>
      </c>
      <c r="AC165" s="100">
        <f t="shared" si="18"/>
        <v>-9.3755656108597263E-2</v>
      </c>
    </row>
    <row r="166" spans="1:29" x14ac:dyDescent="0.2">
      <c r="Z166" s="146"/>
      <c r="AC166" s="176"/>
    </row>
    <row r="167" spans="1:29" ht="15.75" x14ac:dyDescent="0.25">
      <c r="A167" s="102" t="s">
        <v>151</v>
      </c>
      <c r="B167" s="44">
        <v>1997</v>
      </c>
      <c r="C167" s="44">
        <v>1998</v>
      </c>
      <c r="D167" s="44">
        <v>1999</v>
      </c>
      <c r="E167" s="44">
        <v>2000</v>
      </c>
      <c r="F167" s="44">
        <v>2001</v>
      </c>
      <c r="G167" s="44">
        <v>2002</v>
      </c>
      <c r="H167" s="109">
        <v>2003</v>
      </c>
      <c r="I167" s="109">
        <v>2004</v>
      </c>
      <c r="J167" s="109">
        <v>2005</v>
      </c>
      <c r="K167" s="110">
        <v>2006</v>
      </c>
      <c r="L167" s="109">
        <v>2007</v>
      </c>
      <c r="M167" s="111">
        <v>2008</v>
      </c>
      <c r="N167" s="109">
        <v>2009</v>
      </c>
      <c r="O167" s="109">
        <v>2010</v>
      </c>
      <c r="P167" s="111">
        <v>2011</v>
      </c>
      <c r="Q167" s="109">
        <v>2012</v>
      </c>
      <c r="R167" s="109">
        <v>2013</v>
      </c>
      <c r="S167" s="109">
        <v>2014</v>
      </c>
      <c r="T167" s="109">
        <v>2015</v>
      </c>
      <c r="U167" s="109">
        <v>2016</v>
      </c>
      <c r="V167" s="109">
        <v>2017</v>
      </c>
      <c r="W167" s="109">
        <v>2018</v>
      </c>
      <c r="X167" s="109">
        <v>2019</v>
      </c>
      <c r="Y167" s="109">
        <v>2020</v>
      </c>
      <c r="Z167" s="109">
        <v>2021</v>
      </c>
      <c r="AA167" s="109">
        <v>2022</v>
      </c>
      <c r="AB167" s="224" t="s">
        <v>119</v>
      </c>
      <c r="AC167" s="199" t="s">
        <v>120</v>
      </c>
    </row>
    <row r="168" spans="1:29" x14ac:dyDescent="0.2">
      <c r="A168" s="49" t="s">
        <v>7</v>
      </c>
      <c r="B168" s="52">
        <v>10718</v>
      </c>
      <c r="C168" s="52">
        <v>12267</v>
      </c>
      <c r="D168" s="52">
        <v>13676</v>
      </c>
      <c r="E168" s="52">
        <v>15050</v>
      </c>
      <c r="F168" s="52">
        <v>13122</v>
      </c>
      <c r="G168" s="52">
        <v>10339</v>
      </c>
      <c r="H168" s="52">
        <f>France!J32</f>
        <v>10789</v>
      </c>
      <c r="I168" s="52">
        <f>France!K32</f>
        <v>11941</v>
      </c>
      <c r="J168" s="52">
        <f>France!L32</f>
        <v>12401</v>
      </c>
      <c r="K168" s="67">
        <f>France!M32</f>
        <v>14526</v>
      </c>
      <c r="L168" s="67">
        <f>France!N32</f>
        <v>16821</v>
      </c>
      <c r="M168" s="67">
        <f>France!O32</f>
        <v>13899</v>
      </c>
      <c r="N168" s="67">
        <f>France!P32</f>
        <v>12737</v>
      </c>
      <c r="O168" s="67">
        <f>France!Q32</f>
        <v>11595</v>
      </c>
      <c r="P168" s="52">
        <f>France!R32</f>
        <v>12040</v>
      </c>
      <c r="Q168" s="121">
        <f>France!S32</f>
        <v>11548</v>
      </c>
      <c r="R168" s="121">
        <f>France!T32</f>
        <v>10618</v>
      </c>
      <c r="S168" s="121">
        <f>France!U32</f>
        <v>11678</v>
      </c>
      <c r="T168" s="121">
        <f>France!V32</f>
        <v>15530</v>
      </c>
      <c r="U168" s="121">
        <f>France!W32</f>
        <v>19465</v>
      </c>
      <c r="V168" s="121">
        <f>France!X32</f>
        <v>24685</v>
      </c>
      <c r="W168" s="121">
        <f>France!Y32</f>
        <v>28089</v>
      </c>
      <c r="X168" s="121">
        <f>France!Z32</f>
        <v>22718</v>
      </c>
      <c r="Y168" s="121">
        <f>France!AA32</f>
        <v>20656</v>
      </c>
      <c r="Z168" s="121">
        <f>France!AB32</f>
        <v>20475</v>
      </c>
      <c r="AA168" s="121">
        <f>France!AC32</f>
        <v>20235</v>
      </c>
      <c r="AB168" s="227">
        <f>France!AD32</f>
        <v>18419</v>
      </c>
      <c r="AC168" s="100">
        <f>Z168/Y168-1</f>
        <v>-8.7625871417505996E-3</v>
      </c>
    </row>
    <row r="169" spans="1:29" x14ac:dyDescent="0.2">
      <c r="A169" s="5" t="s">
        <v>124</v>
      </c>
      <c r="B169" s="6">
        <v>9968</v>
      </c>
      <c r="C169" s="6">
        <v>13173</v>
      </c>
      <c r="D169" s="6">
        <v>15721</v>
      </c>
      <c r="E169" s="6">
        <v>13169</v>
      </c>
      <c r="F169" s="6">
        <v>10188</v>
      </c>
      <c r="G169" s="6">
        <v>10598</v>
      </c>
      <c r="H169" s="6">
        <f>Italy!J32</f>
        <v>10989</v>
      </c>
      <c r="I169" s="6">
        <f>Italy!K32</f>
        <v>10008</v>
      </c>
      <c r="J169" s="5">
        <f>Italy!L32</f>
        <v>15047</v>
      </c>
      <c r="K169" s="25">
        <f>Italy!M32</f>
        <v>16551.7</v>
      </c>
      <c r="L169" s="25">
        <f>Italy!N32</f>
        <v>15090.47</v>
      </c>
      <c r="M169" s="25">
        <f>Italy!O32</f>
        <v>14422</v>
      </c>
      <c r="N169" s="25">
        <f>Italy!P32</f>
        <v>13858.38</v>
      </c>
      <c r="O169" s="25">
        <f>Italy!Q32</f>
        <v>15043</v>
      </c>
      <c r="P169" s="6">
        <f>Italy!R32</f>
        <v>17298</v>
      </c>
      <c r="Q169" s="119">
        <f>Italy!S32</f>
        <v>20934</v>
      </c>
      <c r="R169" s="119">
        <f>Italy!T32</f>
        <v>20035</v>
      </c>
      <c r="S169" s="119">
        <f>Italy!U32</f>
        <v>19888</v>
      </c>
      <c r="T169" s="119">
        <f>Italy!V32</f>
        <v>27133</v>
      </c>
      <c r="U169" s="119">
        <f>Italy!W32</f>
        <v>36646</v>
      </c>
      <c r="V169" s="119">
        <f>Italy!X32</f>
        <v>37655</v>
      </c>
      <c r="W169" s="119">
        <f>Italy!Y32</f>
        <v>42815</v>
      </c>
      <c r="X169" s="119">
        <f>Italy!Z32</f>
        <v>31679</v>
      </c>
      <c r="Y169" s="119">
        <f>Italy!AA32</f>
        <v>36262.999999999993</v>
      </c>
      <c r="Z169" s="119">
        <f>Italy!AB32</f>
        <v>38844.51</v>
      </c>
      <c r="AA169" s="119">
        <f>Italy!AC32</f>
        <v>35952.870000000003</v>
      </c>
      <c r="AB169" s="228">
        <f>Italy!AD32</f>
        <v>0</v>
      </c>
      <c r="AC169" s="100">
        <f t="shared" ref="AC169" si="19">Y169/X169-1</f>
        <v>0.14470153729600033</v>
      </c>
    </row>
    <row r="170" spans="1:29" x14ac:dyDescent="0.2">
      <c r="Z170" s="146"/>
      <c r="AC170" s="176"/>
    </row>
    <row r="171" spans="1:29" ht="15.75" x14ac:dyDescent="0.25">
      <c r="A171" s="102" t="s">
        <v>152</v>
      </c>
      <c r="F171" s="44">
        <v>2001</v>
      </c>
      <c r="G171" s="44">
        <v>2002</v>
      </c>
      <c r="H171" s="109">
        <v>2003</v>
      </c>
      <c r="I171" s="109">
        <v>2004</v>
      </c>
      <c r="J171" s="109">
        <v>2005</v>
      </c>
      <c r="K171" s="110">
        <v>2006</v>
      </c>
      <c r="L171" s="109">
        <v>2007</v>
      </c>
      <c r="M171" s="111">
        <v>2008</v>
      </c>
      <c r="N171" s="109">
        <v>2009</v>
      </c>
      <c r="O171" s="41">
        <v>2010</v>
      </c>
      <c r="P171" s="109">
        <v>2011</v>
      </c>
      <c r="Q171" s="41">
        <v>2012</v>
      </c>
      <c r="R171" s="109">
        <v>2013</v>
      </c>
      <c r="S171" s="109">
        <v>2014</v>
      </c>
      <c r="T171" s="109">
        <v>2015</v>
      </c>
      <c r="U171" s="109">
        <v>2016</v>
      </c>
      <c r="V171" s="109">
        <v>2017</v>
      </c>
      <c r="W171" s="109">
        <v>2018</v>
      </c>
      <c r="X171" s="109">
        <v>2019</v>
      </c>
      <c r="Y171" s="109">
        <v>2020</v>
      </c>
      <c r="Z171" s="109">
        <v>2021</v>
      </c>
      <c r="AA171" s="109">
        <v>2022</v>
      </c>
      <c r="AB171" s="224" t="s">
        <v>119</v>
      </c>
      <c r="AC171" s="199" t="s">
        <v>120</v>
      </c>
    </row>
    <row r="172" spans="1:29" x14ac:dyDescent="0.2">
      <c r="A172" s="123" t="s">
        <v>121</v>
      </c>
      <c r="B172" s="5"/>
      <c r="C172" s="5"/>
      <c r="D172" s="5"/>
      <c r="E172" s="5"/>
      <c r="F172" s="6">
        <f>Belgium!H39+Belgium!H40</f>
        <v>0</v>
      </c>
      <c r="G172" s="6">
        <f>Belgium!I39+Belgium!I40</f>
        <v>0</v>
      </c>
      <c r="H172" s="6">
        <f>Belgium!J39+Belgium!J40</f>
        <v>0</v>
      </c>
      <c r="I172" s="6">
        <f>Belgium!K39+Belgium!K40</f>
        <v>0</v>
      </c>
      <c r="J172" s="6">
        <f>Belgium!L39+Belgium!L40</f>
        <v>2</v>
      </c>
      <c r="K172" s="6">
        <f>Belgium!M39+Belgium!M40</f>
        <v>6</v>
      </c>
      <c r="L172" s="6">
        <f>Belgium!N39+Belgium!N40</f>
        <v>15</v>
      </c>
      <c r="M172" s="6">
        <f>Belgium!O39+Belgium!O40</f>
        <v>63.7</v>
      </c>
      <c r="N172" s="6">
        <f>Belgium!P39+Belgium!P40</f>
        <v>80</v>
      </c>
      <c r="O172" s="6">
        <f>Belgium!Q39+Belgium!Q40</f>
        <v>73</v>
      </c>
      <c r="P172" s="6">
        <f>Belgium!R40</f>
        <v>68</v>
      </c>
      <c r="Q172" s="119">
        <f>Belgium!S40</f>
        <v>89</v>
      </c>
      <c r="R172" s="119">
        <f>Belgium!T40</f>
        <v>79.83</v>
      </c>
      <c r="S172" s="119">
        <f>Belgium!U40</f>
        <v>78</v>
      </c>
      <c r="T172" s="119">
        <f>Belgium!V40</f>
        <v>0</v>
      </c>
      <c r="U172" s="119">
        <f>Belgium!W40</f>
        <v>0</v>
      </c>
      <c r="V172" s="119">
        <f>Belgium!X40</f>
        <v>0</v>
      </c>
      <c r="W172" s="119">
        <f>Belgium!Y40</f>
        <v>0</v>
      </c>
      <c r="X172" s="119">
        <f>Belgium!Z40</f>
        <v>0</v>
      </c>
      <c r="Y172" s="119">
        <f>Belgium!AA40</f>
        <v>0</v>
      </c>
      <c r="Z172" s="119">
        <f>Belgium!AB40</f>
        <v>0</v>
      </c>
      <c r="AA172" s="119">
        <f>Belgium!AC40</f>
        <v>0</v>
      </c>
      <c r="AB172" s="228">
        <f>Belgium!AD40</f>
        <v>0</v>
      </c>
      <c r="AC172" s="100" t="e">
        <f>Z172/Y172-1</f>
        <v>#DIV/0!</v>
      </c>
    </row>
    <row r="173" spans="1:29" x14ac:dyDescent="0.2">
      <c r="A173" s="123" t="s">
        <v>122</v>
      </c>
      <c r="B173" s="5"/>
      <c r="C173" s="5"/>
      <c r="D173" s="5"/>
      <c r="E173" s="5"/>
      <c r="F173" s="6">
        <f>Germany!H41+Germany!H42</f>
        <v>3170</v>
      </c>
      <c r="G173" s="6">
        <f>Germany!I41+Germany!I42</f>
        <v>4130</v>
      </c>
      <c r="H173" s="6">
        <f>Germany!J41+Germany!J42</f>
        <v>5741</v>
      </c>
      <c r="I173" s="6">
        <f>Germany!K41+Germany!K42</f>
        <v>6712</v>
      </c>
      <c r="J173" s="6">
        <f>Germany!L41+Germany!L42</f>
        <v>5017</v>
      </c>
      <c r="K173" s="6">
        <f>Germany!M41+Germany!M42</f>
        <v>5741</v>
      </c>
      <c r="L173" s="6">
        <f>Germany!N41+Germany!N42</f>
        <v>6659</v>
      </c>
      <c r="M173" s="6">
        <f>Germany!O41+Germany!O42</f>
        <v>7844</v>
      </c>
      <c r="N173" s="6">
        <f>Germany!P41+Germany!P42</f>
        <v>7187</v>
      </c>
      <c r="O173" s="6">
        <f>Germany!Q41+Germany!Q42</f>
        <v>5009</v>
      </c>
      <c r="P173" s="6">
        <f>Germany!R42+Germany!R41</f>
        <v>5655</v>
      </c>
      <c r="Q173" s="119">
        <f>Germany!S41+Germany!S42</f>
        <v>6319</v>
      </c>
      <c r="R173" s="119">
        <f>Germany!T41+Germany!T42</f>
        <v>5948</v>
      </c>
      <c r="S173" s="119">
        <f>Germany!U41+Germany!U42</f>
        <v>3835</v>
      </c>
      <c r="T173" s="119">
        <f>Germany!V41+Germany!V42</f>
        <v>1887</v>
      </c>
      <c r="U173" s="119">
        <f>Germany!W41+Germany!W42</f>
        <v>2250</v>
      </c>
      <c r="V173" s="119">
        <f>Germany!X41+Germany!X42</f>
        <v>2602</v>
      </c>
      <c r="W173" s="119">
        <f>Germany!Y41+Germany!Y42</f>
        <v>3032</v>
      </c>
      <c r="X173" s="119">
        <f>Germany!Z41+Germany!Z42</f>
        <v>3932</v>
      </c>
      <c r="Y173" s="119">
        <f>Germany!AA41+Germany!AA42</f>
        <v>3131</v>
      </c>
      <c r="Z173" s="119">
        <f>Germany!AB41+Germany!AB42</f>
        <v>3535</v>
      </c>
      <c r="AA173" s="119">
        <f>Germany!AC41+Germany!AC42</f>
        <v>2650</v>
      </c>
      <c r="AB173" s="228">
        <f>Germany!AD41+Germany!AD42</f>
        <v>0</v>
      </c>
      <c r="AC173" s="100">
        <f t="shared" ref="AC173:AC179" si="20">Z173/Y173-1</f>
        <v>0.12903225806451624</v>
      </c>
    </row>
    <row r="174" spans="1:29" x14ac:dyDescent="0.2">
      <c r="A174" s="123" t="s">
        <v>123</v>
      </c>
      <c r="B174" s="5"/>
      <c r="C174" s="5"/>
      <c r="D174" s="5"/>
      <c r="E174" s="5"/>
      <c r="F174" s="6">
        <f>Denmark!H40+Denmark!H41</f>
        <v>450</v>
      </c>
      <c r="G174" s="6">
        <f>Denmark!I40+Denmark!I41</f>
        <v>573</v>
      </c>
      <c r="H174" s="6">
        <f>Denmark!J40+Denmark!J41</f>
        <v>777</v>
      </c>
      <c r="I174" s="6">
        <f>Denmark!K40+Denmark!K41</f>
        <v>796</v>
      </c>
      <c r="J174" s="6">
        <f>Denmark!L40+Denmark!L41</f>
        <v>0</v>
      </c>
      <c r="K174" s="6"/>
      <c r="L174" s="6"/>
      <c r="M174" s="6"/>
      <c r="N174" s="6">
        <f>Denmark!P40+Denmark!P41</f>
        <v>358</v>
      </c>
      <c r="O174" s="6"/>
      <c r="P174" s="6">
        <f>Denmark!R41</f>
        <v>0</v>
      </c>
      <c r="Q174" s="119">
        <f>Denmark!S41</f>
        <v>0</v>
      </c>
      <c r="R174" s="119">
        <f>Denmark!T40+Denmark!T41</f>
        <v>717</v>
      </c>
      <c r="S174" s="119">
        <f>Denmark!U40+Denmark!U41</f>
        <v>820</v>
      </c>
      <c r="T174" s="119">
        <f>Denmark!V40+Denmark!V41</f>
        <v>434</v>
      </c>
      <c r="U174" s="119">
        <f>Denmark!W40+Denmark!W41</f>
        <v>0</v>
      </c>
      <c r="V174" s="119">
        <f>Denmark!X40+Denmark!X41</f>
        <v>777</v>
      </c>
      <c r="W174" s="119">
        <f>Denmark!Y40+Denmark!Y41</f>
        <v>680</v>
      </c>
      <c r="X174" s="119">
        <f>Denmark!Z40+Denmark!Z41</f>
        <v>855</v>
      </c>
      <c r="Y174" s="119">
        <f>Denmark!AA40+Denmark!AA41</f>
        <v>583</v>
      </c>
      <c r="Z174" s="119">
        <f>Denmark!AB40+Denmark!AB41</f>
        <v>454</v>
      </c>
      <c r="AA174" s="119">
        <f>Denmark!AC40+Denmark!AC41</f>
        <v>774</v>
      </c>
      <c r="AB174" s="228">
        <f>Denmark!AD40+Denmark!AD41</f>
        <v>0</v>
      </c>
      <c r="AC174" s="100">
        <f t="shared" si="20"/>
        <v>-0.22126929674099483</v>
      </c>
    </row>
    <row r="175" spans="1:29" x14ac:dyDescent="0.2">
      <c r="A175" s="5" t="s">
        <v>7</v>
      </c>
      <c r="B175" s="5"/>
      <c r="C175" s="5"/>
      <c r="D175" s="5"/>
      <c r="E175" s="5"/>
      <c r="F175" s="6">
        <f>France!H41</f>
        <v>3426</v>
      </c>
      <c r="G175" s="6">
        <f>France!I41</f>
        <v>3335</v>
      </c>
      <c r="H175" s="6">
        <f>France!J41</f>
        <v>3660</v>
      </c>
      <c r="I175" s="6">
        <f>France!K41</f>
        <v>4520</v>
      </c>
      <c r="J175" s="6">
        <f>France!L41</f>
        <v>3889</v>
      </c>
      <c r="K175" s="6">
        <f>France!M41</f>
        <v>8020</v>
      </c>
      <c r="L175" s="6">
        <f>France!N41</f>
        <v>8202</v>
      </c>
      <c r="M175" s="6">
        <f>France!O41</f>
        <v>12775</v>
      </c>
      <c r="N175" s="6">
        <f>France!P41</f>
        <v>13656</v>
      </c>
      <c r="O175" s="6">
        <f>France!Q41</f>
        <v>9480</v>
      </c>
      <c r="P175" s="6">
        <f>France!R41</f>
        <v>8767</v>
      </c>
      <c r="Q175" s="119">
        <f>France!S41</f>
        <v>12199</v>
      </c>
      <c r="R175" s="119">
        <f>France!T41</f>
        <v>12063</v>
      </c>
      <c r="S175" s="119">
        <f>France!U41</f>
        <v>13639</v>
      </c>
      <c r="T175" s="119">
        <f>France!V41</f>
        <v>10689</v>
      </c>
      <c r="U175" s="119">
        <f>France!W41</f>
        <v>10375</v>
      </c>
      <c r="V175" s="119">
        <f>France!X41</f>
        <v>9740</v>
      </c>
      <c r="W175" s="119">
        <f>France!Y41</f>
        <v>14487</v>
      </c>
      <c r="X175" s="119">
        <f>France!Z41</f>
        <v>17223</v>
      </c>
      <c r="Y175" s="119">
        <f>France!AA41</f>
        <v>11225</v>
      </c>
      <c r="Z175" s="119">
        <f>France!AB41</f>
        <v>10798</v>
      </c>
      <c r="AA175" s="119">
        <f>France!AC41</f>
        <v>10170</v>
      </c>
      <c r="AB175" s="228">
        <f>France!AD41</f>
        <v>10612</v>
      </c>
      <c r="AC175" s="100">
        <f t="shared" si="20"/>
        <v>-3.8040089086859741E-2</v>
      </c>
    </row>
    <row r="176" spans="1:29" x14ac:dyDescent="0.2">
      <c r="A176" s="123" t="s">
        <v>124</v>
      </c>
      <c r="B176" s="5"/>
      <c r="C176" s="5"/>
      <c r="D176" s="5"/>
      <c r="E176" s="5"/>
      <c r="F176" s="6">
        <f>Italy!H41+Italy!H42</f>
        <v>160</v>
      </c>
      <c r="G176" s="6">
        <f>Italy!I41+Italy!I42</f>
        <v>31.79</v>
      </c>
      <c r="H176" s="6">
        <f>Italy!J41+Italy!J42</f>
        <v>49.29</v>
      </c>
      <c r="I176" s="6">
        <f>Italy!K41+Italy!K42</f>
        <v>53</v>
      </c>
      <c r="J176" s="5">
        <f>Italy!L41+Italy!L42</f>
        <v>43</v>
      </c>
      <c r="K176" s="6">
        <f>Italy!M41+Italy!M42</f>
        <v>47.300000000000004</v>
      </c>
      <c r="L176" s="6">
        <f>Italy!N41+Italy!N42</f>
        <v>209.21</v>
      </c>
      <c r="M176" s="6">
        <f>Italy!O41+Italy!O42</f>
        <v>268</v>
      </c>
      <c r="N176" s="6">
        <f>Italy!P41+Italy!P42</f>
        <v>266.43</v>
      </c>
      <c r="O176" s="6">
        <f>Italy!Q41+Italy!Q42</f>
        <v>56</v>
      </c>
      <c r="P176" s="6">
        <f>Italy!R42</f>
        <v>128</v>
      </c>
      <c r="Q176" s="119">
        <f>Italy!S42</f>
        <v>84</v>
      </c>
      <c r="R176" s="119">
        <f>Italy!T42</f>
        <v>219</v>
      </c>
      <c r="S176" s="119">
        <f>Italy!U42</f>
        <v>195</v>
      </c>
      <c r="T176" s="119">
        <f>Italy!V42</f>
        <v>75</v>
      </c>
      <c r="U176" s="119">
        <f>Italy!W42</f>
        <v>129</v>
      </c>
      <c r="V176" s="119">
        <f>Italy!X42</f>
        <v>235</v>
      </c>
      <c r="W176" s="119">
        <f>Italy!Y42</f>
        <v>424</v>
      </c>
      <c r="X176" s="119">
        <f>Italy!Z42</f>
        <v>264</v>
      </c>
      <c r="Y176" s="119">
        <f>Italy!AA42</f>
        <v>232.55</v>
      </c>
      <c r="Z176" s="119">
        <f>Italy!AB42</f>
        <v>387.72</v>
      </c>
      <c r="AA176" s="119">
        <f>Italy!AC42</f>
        <v>612.75</v>
      </c>
      <c r="AB176" s="228">
        <f>Italy!AD42</f>
        <v>0</v>
      </c>
      <c r="AC176" s="100">
        <f t="shared" si="20"/>
        <v>0.66725435390238652</v>
      </c>
    </row>
    <row r="177" spans="1:29" x14ac:dyDescent="0.2">
      <c r="A177" s="123" t="s">
        <v>125</v>
      </c>
      <c r="B177" s="5"/>
      <c r="C177" s="5"/>
      <c r="D177" s="5"/>
      <c r="E177" s="5"/>
      <c r="F177" s="5">
        <f>Sweden!H40+Sweden!H41</f>
        <v>621</v>
      </c>
      <c r="G177" s="5">
        <f>Sweden!I40+Sweden!I41</f>
        <v>983</v>
      </c>
      <c r="H177" s="5">
        <f>Sweden!J40+Sweden!J41</f>
        <v>709</v>
      </c>
      <c r="I177" s="5">
        <f>Sweden!K40+Sweden!K41</f>
        <v>858</v>
      </c>
      <c r="J177" s="5">
        <f>Sweden!L40+Sweden!L41</f>
        <v>742</v>
      </c>
      <c r="K177" s="6">
        <f>Sweden!M40+Sweden!M41</f>
        <v>924</v>
      </c>
      <c r="L177" s="6">
        <f>Sweden!N40+Sweden!N41</f>
        <v>1120</v>
      </c>
      <c r="M177" s="6">
        <f>Sweden!O40+Sweden!O41</f>
        <v>586</v>
      </c>
      <c r="N177" s="6">
        <f>Sweden!P40+Sweden!P41</f>
        <v>630</v>
      </c>
      <c r="O177" s="6">
        <f>Sweden!Q40+Sweden!Q41</f>
        <v>498</v>
      </c>
      <c r="P177" s="6">
        <f>Sweden!R41</f>
        <v>541</v>
      </c>
      <c r="Q177" s="119">
        <f>Sweden!S41</f>
        <v>504</v>
      </c>
      <c r="R177" s="119">
        <f>Sweden!T41</f>
        <v>639</v>
      </c>
      <c r="S177" s="119">
        <f>Sweden!U41</f>
        <v>215</v>
      </c>
      <c r="T177" s="119">
        <f>Sweden!V41</f>
        <v>39</v>
      </c>
      <c r="U177" s="119">
        <f>Sweden!W41</f>
        <v>64</v>
      </c>
      <c r="V177" s="119">
        <f>Sweden!X41</f>
        <v>160.4</v>
      </c>
      <c r="W177" s="119">
        <f>Sweden!Y41</f>
        <v>92</v>
      </c>
      <c r="X177" s="119">
        <f>Sweden!Z41</f>
        <v>84</v>
      </c>
      <c r="Y177" s="119">
        <f>Sweden!AA41</f>
        <v>45</v>
      </c>
      <c r="Z177" s="119">
        <f>Sweden!AB41</f>
        <v>189</v>
      </c>
      <c r="AA177" s="119">
        <f>Sweden!AC41</f>
        <v>157.69999999999999</v>
      </c>
      <c r="AB177" s="228">
        <f>Sweden!AD41</f>
        <v>0</v>
      </c>
      <c r="AC177" s="100">
        <f t="shared" si="20"/>
        <v>3.2</v>
      </c>
    </row>
    <row r="178" spans="1:29" x14ac:dyDescent="0.2">
      <c r="A178" s="123" t="s">
        <v>127</v>
      </c>
      <c r="B178" s="5"/>
      <c r="C178" s="5"/>
      <c r="D178" s="5"/>
      <c r="E178" s="5"/>
      <c r="F178" s="5">
        <f>Finland!H40+Finland!H41</f>
        <v>848</v>
      </c>
      <c r="G178" s="5">
        <f>Finland!I40+Finland!I41</f>
        <v>742</v>
      </c>
      <c r="H178" s="5">
        <f>Finland!J40+Finland!J41</f>
        <v>800</v>
      </c>
      <c r="I178" s="5">
        <f>Finland!K40+Finland!K41</f>
        <v>1811</v>
      </c>
      <c r="J178" s="5">
        <f>Finland!L40+Finland!L41</f>
        <v>1115</v>
      </c>
      <c r="K178" s="6">
        <f>Finland!M40+Finland!M41</f>
        <v>1136</v>
      </c>
      <c r="L178" s="6">
        <f>Finland!N40+Finland!N41</f>
        <v>705</v>
      </c>
      <c r="M178" s="6">
        <f>Finland!O40+Finland!O41</f>
        <v>623</v>
      </c>
      <c r="N178" s="6">
        <f>Finland!P40+Finland!P41</f>
        <v>651</v>
      </c>
      <c r="O178" s="6">
        <f>Finland!Q40+Finland!Q41</f>
        <v>1100</v>
      </c>
      <c r="P178" s="6">
        <f>Finland!R41</f>
        <v>949</v>
      </c>
      <c r="Q178" s="119">
        <f>Finland!S41</f>
        <v>525</v>
      </c>
      <c r="R178" s="119">
        <f>Finland!T41</f>
        <v>537</v>
      </c>
      <c r="S178" s="119">
        <f>Finland!U41</f>
        <v>0</v>
      </c>
      <c r="T178" s="119">
        <f>Finland!V41</f>
        <v>0</v>
      </c>
      <c r="U178" s="119">
        <f>Finland!W41</f>
        <v>341</v>
      </c>
      <c r="V178" s="119">
        <f>Finland!X41</f>
        <v>471</v>
      </c>
      <c r="W178" s="119">
        <f>Finland!Y41</f>
        <v>413</v>
      </c>
      <c r="X178" s="119">
        <f>Finland!Z41</f>
        <v>300</v>
      </c>
      <c r="Y178" s="119">
        <f>Finland!AA41</f>
        <v>210</v>
      </c>
      <c r="Z178" s="119">
        <f>Finland!AB41</f>
        <v>227</v>
      </c>
      <c r="AA178" s="119">
        <f>Finland!AC41</f>
        <v>415</v>
      </c>
      <c r="AB178" s="228">
        <f>Finland!AD41</f>
        <v>388</v>
      </c>
      <c r="AC178" s="100">
        <f t="shared" si="20"/>
        <v>8.0952380952380887E-2</v>
      </c>
    </row>
    <row r="179" spans="1:29" x14ac:dyDescent="0.2">
      <c r="A179" s="5" t="s">
        <v>153</v>
      </c>
      <c r="B179" s="5"/>
      <c r="C179" s="5"/>
      <c r="D179" s="5"/>
      <c r="E179" s="5"/>
      <c r="F179" s="5">
        <f>UK!H40+UK!H41</f>
        <v>1848</v>
      </c>
      <c r="G179" s="5">
        <f>UK!I40+UK!I41</f>
        <v>1704</v>
      </c>
      <c r="H179" s="5">
        <f>UK!J40+UK!J41</f>
        <v>1724</v>
      </c>
      <c r="I179" s="5">
        <f>UK!K40+UK!K41</f>
        <v>2136</v>
      </c>
      <c r="J179" s="63">
        <f>UK!L40+UK!L41</f>
        <v>2278</v>
      </c>
      <c r="K179" s="6">
        <f>UK!M41</f>
        <v>0</v>
      </c>
      <c r="L179" s="6">
        <f>UK!N41</f>
        <v>0</v>
      </c>
      <c r="M179" s="6"/>
      <c r="N179" s="6" t="e">
        <f>UK!#REF!+UK!P40</f>
        <v>#REF!</v>
      </c>
      <c r="O179" s="6"/>
      <c r="P179" s="6">
        <f>UK!R41</f>
        <v>0</v>
      </c>
      <c r="Q179" s="119">
        <f>UK!S41</f>
        <v>0</v>
      </c>
      <c r="R179" s="119">
        <f>UK!T41</f>
        <v>0</v>
      </c>
      <c r="S179" s="119">
        <f>UK!U41</f>
        <v>0</v>
      </c>
      <c r="T179" s="119">
        <f>UK!V41</f>
        <v>0</v>
      </c>
      <c r="U179" s="119">
        <f>UK!W41</f>
        <v>0</v>
      </c>
      <c r="V179" s="119">
        <f>UK!X41</f>
        <v>0</v>
      </c>
      <c r="W179" s="119">
        <f>UK!Y41</f>
        <v>0</v>
      </c>
      <c r="X179" s="119">
        <f>UK!Z41</f>
        <v>0</v>
      </c>
      <c r="Y179" s="119">
        <f>UK!AA41</f>
        <v>0</v>
      </c>
      <c r="Z179" s="119">
        <f>UK!AB41</f>
        <v>0</v>
      </c>
      <c r="AA179" s="119">
        <f>UK!AC41</f>
        <v>0</v>
      </c>
      <c r="AB179" s="228">
        <f>UK!AD41</f>
        <v>0</v>
      </c>
      <c r="AC179" s="100" t="e">
        <f t="shared" si="20"/>
        <v>#DIV/0!</v>
      </c>
    </row>
  </sheetData>
  <phoneticPr fontId="0" type="noConversion"/>
  <printOptions gridLines="1" gridLinesSet="0"/>
  <pageMargins left="0.19685039370078741" right="0.19685039370078741" top="0.55118110236220474" bottom="0.43307086614173229" header="0.23622047244094491" footer="0.19685039370078741"/>
  <pageSetup paperSize="9" scale="76" fitToHeight="0" orientation="portrait" horizontalDpi="300" verticalDpi="300" r:id="rId1"/>
  <headerFooter alignWithMargins="0">
    <oddHeader>&amp;A</oddHeader>
    <oddFooter>Page &amp;P</oddFooter>
  </headerFooter>
  <rowBreaks count="1" manualBreakCount="1">
    <brk id="90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4"/>
  <sheetViews>
    <sheetView workbookViewId="0">
      <selection activeCell="I23" sqref="I23"/>
    </sheetView>
  </sheetViews>
  <sheetFormatPr defaultColWidth="11.42578125" defaultRowHeight="12.75" x14ac:dyDescent="0.2"/>
  <cols>
    <col min="1" max="1" width="40.85546875" bestFit="1" customWidth="1"/>
    <col min="2" max="2" width="14.85546875" customWidth="1"/>
    <col min="3" max="3" width="11.42578125" style="125" customWidth="1"/>
    <col min="4" max="4" width="11.5703125" bestFit="1" customWidth="1"/>
    <col min="5" max="5" width="16" customWidth="1"/>
  </cols>
  <sheetData>
    <row r="2" spans="1:6" x14ac:dyDescent="0.2">
      <c r="A2" t="s">
        <v>154</v>
      </c>
    </row>
    <row r="3" spans="1:6" x14ac:dyDescent="0.2">
      <c r="B3" s="107" t="s">
        <v>155</v>
      </c>
      <c r="C3" s="107" t="s">
        <v>155</v>
      </c>
      <c r="D3" s="107" t="s">
        <v>155</v>
      </c>
      <c r="E3" s="107" t="s">
        <v>155</v>
      </c>
      <c r="F3" s="107" t="s">
        <v>155</v>
      </c>
    </row>
    <row r="4" spans="1:6" x14ac:dyDescent="0.2">
      <c r="B4" s="146">
        <v>2009</v>
      </c>
      <c r="C4">
        <v>2010</v>
      </c>
      <c r="D4">
        <v>2011</v>
      </c>
      <c r="E4" s="107">
        <v>2007</v>
      </c>
      <c r="F4" s="107">
        <v>2008</v>
      </c>
    </row>
    <row r="5" spans="1:6" ht="18.75" x14ac:dyDescent="0.25">
      <c r="A5" s="112" t="s">
        <v>156</v>
      </c>
      <c r="B5" s="126">
        <v>24</v>
      </c>
      <c r="C5" s="128">
        <v>0</v>
      </c>
      <c r="D5" s="128">
        <v>0</v>
      </c>
      <c r="E5" s="113">
        <v>1</v>
      </c>
      <c r="F5" s="113">
        <v>0</v>
      </c>
    </row>
    <row r="6" spans="1:6" ht="18.75" x14ac:dyDescent="0.25">
      <c r="A6" s="112" t="s">
        <v>157</v>
      </c>
      <c r="B6" s="126">
        <v>226.6</v>
      </c>
      <c r="C6" s="128">
        <v>190</v>
      </c>
      <c r="D6" s="128">
        <v>212.39</v>
      </c>
      <c r="E6" s="113">
        <v>235.38</v>
      </c>
      <c r="F6" s="113">
        <v>234.4</v>
      </c>
    </row>
    <row r="7" spans="1:6" ht="18.75" x14ac:dyDescent="0.25">
      <c r="A7" s="112" t="s">
        <v>158</v>
      </c>
      <c r="B7" s="126">
        <v>109</v>
      </c>
      <c r="C7" s="128">
        <v>203</v>
      </c>
      <c r="D7" s="128">
        <v>154.5</v>
      </c>
      <c r="E7" s="113">
        <v>127.54</v>
      </c>
      <c r="F7" s="113">
        <v>117.6</v>
      </c>
    </row>
    <row r="8" spans="1:6" ht="18.75" x14ac:dyDescent="0.25">
      <c r="A8" s="112" t="s">
        <v>159</v>
      </c>
      <c r="B8" s="126">
        <v>292.10000000000002</v>
      </c>
      <c r="C8" s="128">
        <v>188</v>
      </c>
      <c r="D8" s="128">
        <v>143.6</v>
      </c>
      <c r="E8" s="113">
        <v>395.02</v>
      </c>
      <c r="F8" s="113">
        <v>290.10000000000002</v>
      </c>
    </row>
    <row r="9" spans="1:6" ht="18.75" x14ac:dyDescent="0.25">
      <c r="A9" s="114" t="s">
        <v>160</v>
      </c>
      <c r="B9" s="126">
        <v>376.75</v>
      </c>
      <c r="C9" s="128">
        <v>339</v>
      </c>
      <c r="D9" s="128">
        <v>351.89</v>
      </c>
      <c r="E9" s="113">
        <v>283.99</v>
      </c>
      <c r="F9" s="113">
        <v>377.65</v>
      </c>
    </row>
    <row r="10" spans="1:6" ht="18.75" x14ac:dyDescent="0.25">
      <c r="A10" s="112" t="s">
        <v>161</v>
      </c>
      <c r="B10" s="126">
        <v>11398</v>
      </c>
      <c r="C10" s="128">
        <v>5976</v>
      </c>
      <c r="D10" s="128">
        <v>3765.4199999999996</v>
      </c>
      <c r="E10" s="113">
        <v>9832.1299999999992</v>
      </c>
      <c r="F10" s="113">
        <v>11616.11</v>
      </c>
    </row>
    <row r="11" spans="1:6" ht="18.75" x14ac:dyDescent="0.25">
      <c r="A11" s="114" t="s">
        <v>162</v>
      </c>
      <c r="B11" s="126">
        <v>16705</v>
      </c>
      <c r="C11" s="128">
        <v>11142</v>
      </c>
      <c r="D11" s="128">
        <v>7775.23</v>
      </c>
      <c r="E11" s="113">
        <v>13496.68</v>
      </c>
      <c r="F11" s="113">
        <v>15232.46</v>
      </c>
    </row>
    <row r="12" spans="1:6" ht="18.75" x14ac:dyDescent="0.25">
      <c r="A12" s="112" t="s">
        <v>163</v>
      </c>
      <c r="B12" s="126">
        <v>3095</v>
      </c>
      <c r="C12" s="128">
        <v>2976</v>
      </c>
      <c r="D12" s="128">
        <v>3003.38</v>
      </c>
      <c r="E12" s="113">
        <v>3299.73</v>
      </c>
      <c r="F12" s="113">
        <v>3250.9</v>
      </c>
    </row>
    <row r="13" spans="1:6" ht="18.75" x14ac:dyDescent="0.25">
      <c r="A13" s="112" t="s">
        <v>164</v>
      </c>
      <c r="B13" s="126">
        <v>9409</v>
      </c>
      <c r="C13" s="128">
        <v>6674</v>
      </c>
      <c r="D13" s="128">
        <v>5444.7099999999991</v>
      </c>
      <c r="E13" s="113">
        <v>13456.18</v>
      </c>
      <c r="F13" s="113">
        <v>12578.2</v>
      </c>
    </row>
    <row r="14" spans="1:6" ht="18.75" x14ac:dyDescent="0.25">
      <c r="A14" s="112" t="s">
        <v>165</v>
      </c>
      <c r="B14" s="126">
        <v>32300</v>
      </c>
      <c r="C14" s="128">
        <v>27873</v>
      </c>
      <c r="D14" s="128">
        <v>25920.763999999999</v>
      </c>
      <c r="E14" s="113">
        <v>37294.839999999997</v>
      </c>
      <c r="F14" s="113">
        <v>29493.56</v>
      </c>
    </row>
    <row r="15" spans="1:6" ht="18.75" x14ac:dyDescent="0.25">
      <c r="A15" s="112" t="s">
        <v>166</v>
      </c>
      <c r="B15" s="126">
        <v>2605</v>
      </c>
      <c r="C15" s="128">
        <v>1208</v>
      </c>
      <c r="D15" s="128">
        <v>1372.5099999999998</v>
      </c>
      <c r="E15" s="113">
        <v>4197.1400000000003</v>
      </c>
      <c r="F15" s="113">
        <v>3711.8</v>
      </c>
    </row>
    <row r="16" spans="1:6" ht="18.75" x14ac:dyDescent="0.25">
      <c r="A16" s="112" t="s">
        <v>167</v>
      </c>
      <c r="B16" s="126">
        <v>38762</v>
      </c>
      <c r="C16" s="128">
        <v>31424</v>
      </c>
      <c r="D16" s="128">
        <v>34603.910000000003</v>
      </c>
      <c r="E16" s="113">
        <v>34603.72</v>
      </c>
      <c r="F16" s="113">
        <v>30217.34</v>
      </c>
    </row>
    <row r="17" spans="1:6" ht="18.75" x14ac:dyDescent="0.25">
      <c r="A17" s="112" t="s">
        <v>168</v>
      </c>
      <c r="B17" s="126">
        <v>68742</v>
      </c>
      <c r="C17" s="128">
        <v>54530</v>
      </c>
      <c r="D17" s="128">
        <v>54508.909999999996</v>
      </c>
      <c r="E17" s="113">
        <v>74515.34</v>
      </c>
      <c r="F17" s="113">
        <v>58786.44</v>
      </c>
    </row>
    <row r="18" spans="1:6" ht="18.75" x14ac:dyDescent="0.25">
      <c r="A18" s="112" t="s">
        <v>169</v>
      </c>
      <c r="B18" s="126">
        <v>4042.92</v>
      </c>
      <c r="C18" s="128">
        <v>2152</v>
      </c>
      <c r="D18" s="128">
        <v>2501.92</v>
      </c>
      <c r="E18" s="113">
        <v>5974.74</v>
      </c>
      <c r="F18" s="113">
        <v>4630.25</v>
      </c>
    </row>
    <row r="19" spans="1:6" ht="18.75" x14ac:dyDescent="0.25">
      <c r="A19" s="112" t="s">
        <v>170</v>
      </c>
      <c r="B19" s="126">
        <v>20.2</v>
      </c>
      <c r="C19" s="128">
        <v>31</v>
      </c>
      <c r="D19" s="128">
        <v>24.75</v>
      </c>
      <c r="E19" s="113">
        <v>73.91</v>
      </c>
      <c r="F19" s="113">
        <v>98.4</v>
      </c>
    </row>
    <row r="20" spans="1:6" ht="18.75" x14ac:dyDescent="0.25">
      <c r="A20" s="112" t="s">
        <v>171</v>
      </c>
      <c r="B20" s="126">
        <v>16211</v>
      </c>
      <c r="C20" s="128">
        <v>14486</v>
      </c>
      <c r="D20" s="128">
        <v>14488.75</v>
      </c>
      <c r="E20" s="113">
        <v>18860.39</v>
      </c>
      <c r="F20" s="113">
        <v>18475.919999999998</v>
      </c>
    </row>
    <row r="21" spans="1:6" ht="18.75" x14ac:dyDescent="0.25">
      <c r="A21" s="112" t="s">
        <v>172</v>
      </c>
      <c r="B21" s="126">
        <v>41.9</v>
      </c>
      <c r="C21" s="128">
        <v>66</v>
      </c>
      <c r="D21" s="128">
        <v>127.41</v>
      </c>
      <c r="E21" s="113">
        <v>104.32</v>
      </c>
      <c r="F21" s="113">
        <v>28.4</v>
      </c>
    </row>
    <row r="22" spans="1:6" ht="18.75" x14ac:dyDescent="0.25">
      <c r="A22" s="112" t="s">
        <v>173</v>
      </c>
      <c r="B22" s="126">
        <v>9239</v>
      </c>
      <c r="C22" s="128">
        <v>9601</v>
      </c>
      <c r="D22" s="128">
        <v>9906.56</v>
      </c>
      <c r="E22" s="113">
        <v>12029.38</v>
      </c>
      <c r="F22" s="113">
        <v>8406.07</v>
      </c>
    </row>
    <row r="23" spans="1:6" ht="18.75" x14ac:dyDescent="0.25">
      <c r="A23" s="114" t="s">
        <v>174</v>
      </c>
      <c r="B23" s="126">
        <v>72.7</v>
      </c>
      <c r="C23" s="128">
        <v>147</v>
      </c>
      <c r="D23" s="128">
        <v>140.32</v>
      </c>
      <c r="E23" s="113">
        <v>205.71</v>
      </c>
      <c r="F23" s="113">
        <v>124.7</v>
      </c>
    </row>
    <row r="24" spans="1:6" ht="18.75" x14ac:dyDescent="0.25">
      <c r="A24" s="114"/>
      <c r="B24" s="125"/>
      <c r="C24" s="23"/>
      <c r="D24" s="23"/>
      <c r="E24" s="113"/>
      <c r="F24" s="113"/>
    </row>
    <row r="25" spans="1:6" ht="19.5" x14ac:dyDescent="0.3">
      <c r="A25" s="115" t="s">
        <v>175</v>
      </c>
      <c r="B25" s="116">
        <v>213673</v>
      </c>
      <c r="C25" s="116">
        <v>169205</v>
      </c>
      <c r="D25" s="116">
        <v>164446.92400000003</v>
      </c>
      <c r="E25" s="116">
        <v>228987.14</v>
      </c>
      <c r="F25" s="116">
        <v>197670.3</v>
      </c>
    </row>
    <row r="26" spans="1:6" ht="19.5" x14ac:dyDescent="0.3">
      <c r="A26" s="115"/>
      <c r="B26" s="125"/>
      <c r="C26"/>
      <c r="E26" s="116"/>
    </row>
    <row r="27" spans="1:6" ht="15" x14ac:dyDescent="0.2">
      <c r="A27" s="117"/>
      <c r="B27" s="146">
        <v>2009</v>
      </c>
      <c r="C27" s="129">
        <v>2010</v>
      </c>
      <c r="D27" s="129">
        <v>2011</v>
      </c>
      <c r="E27" s="107">
        <v>2007</v>
      </c>
      <c r="F27" s="107">
        <v>2008</v>
      </c>
    </row>
    <row r="28" spans="1:6" ht="18.75" x14ac:dyDescent="0.25">
      <c r="A28" s="114" t="s">
        <v>176</v>
      </c>
      <c r="B28" s="127">
        <v>127.06</v>
      </c>
      <c r="C28" s="127">
        <v>185</v>
      </c>
      <c r="D28" s="140">
        <v>141.85</v>
      </c>
      <c r="E28" s="113">
        <v>252.28</v>
      </c>
      <c r="F28" s="113">
        <v>140.99</v>
      </c>
    </row>
    <row r="29" spans="1:6" ht="18.75" x14ac:dyDescent="0.25">
      <c r="A29" s="112" t="s">
        <v>177</v>
      </c>
      <c r="B29" s="127">
        <v>86</v>
      </c>
      <c r="C29" s="127">
        <v>100</v>
      </c>
      <c r="D29" s="140">
        <v>36</v>
      </c>
      <c r="E29" s="113">
        <v>99</v>
      </c>
      <c r="F29" s="113">
        <v>95</v>
      </c>
    </row>
    <row r="30" spans="1:6" ht="18.75" x14ac:dyDescent="0.25">
      <c r="A30" s="112" t="s">
        <v>178</v>
      </c>
      <c r="B30" s="127">
        <v>2965.48</v>
      </c>
      <c r="C30" s="127">
        <v>3957</v>
      </c>
      <c r="D30" s="140">
        <v>2525.06</v>
      </c>
      <c r="E30" s="113">
        <v>3416.79</v>
      </c>
      <c r="F30" s="113">
        <v>2870.99</v>
      </c>
    </row>
    <row r="31" spans="1:6" ht="18.75" x14ac:dyDescent="0.25">
      <c r="A31" s="112" t="s">
        <v>179</v>
      </c>
      <c r="B31" s="127">
        <v>37890.32</v>
      </c>
      <c r="C31" s="127">
        <v>40534</v>
      </c>
      <c r="D31" s="140">
        <v>41522.68</v>
      </c>
      <c r="E31" s="113">
        <v>39844.120000000003</v>
      </c>
      <c r="F31" s="113">
        <v>38246.6</v>
      </c>
    </row>
    <row r="32" spans="1:6" ht="18.75" x14ac:dyDescent="0.25">
      <c r="A32" s="112" t="s">
        <v>180</v>
      </c>
      <c r="B32" s="127">
        <v>265.8</v>
      </c>
      <c r="C32" s="127">
        <v>326</v>
      </c>
      <c r="D32" s="140">
        <v>95.99</v>
      </c>
      <c r="E32" s="113">
        <v>203.8</v>
      </c>
      <c r="F32" s="113">
        <v>150.55000000000001</v>
      </c>
    </row>
    <row r="33" spans="1:7" ht="18.75" x14ac:dyDescent="0.25">
      <c r="A33" s="112" t="s">
        <v>181</v>
      </c>
      <c r="B33" s="127">
        <v>25176.5</v>
      </c>
      <c r="C33" s="127">
        <v>28803</v>
      </c>
      <c r="D33" s="140">
        <v>23952.65</v>
      </c>
      <c r="E33" s="113">
        <v>20934.55</v>
      </c>
      <c r="F33" s="113">
        <v>17968.740000000002</v>
      </c>
    </row>
    <row r="34" spans="1:7" ht="18.75" x14ac:dyDescent="0.25">
      <c r="A34" s="114" t="s">
        <v>182</v>
      </c>
      <c r="B34" s="127">
        <v>5030.058</v>
      </c>
      <c r="C34" s="127">
        <v>5542</v>
      </c>
      <c r="D34" s="140">
        <v>5810.63</v>
      </c>
      <c r="E34" s="113">
        <v>3588.01</v>
      </c>
      <c r="F34" s="113">
        <v>3593.92</v>
      </c>
    </row>
    <row r="35" spans="1:7" ht="18.75" x14ac:dyDescent="0.25">
      <c r="A35" s="112" t="s">
        <v>183</v>
      </c>
      <c r="B35" s="127">
        <v>228</v>
      </c>
      <c r="C35" s="127">
        <v>207</v>
      </c>
      <c r="D35" s="140">
        <v>225.75</v>
      </c>
      <c r="E35" s="113">
        <v>237.92</v>
      </c>
      <c r="F35" s="113">
        <v>194.5</v>
      </c>
    </row>
    <row r="36" spans="1:7" ht="18.75" x14ac:dyDescent="0.25">
      <c r="A36" s="112" t="s">
        <v>184</v>
      </c>
      <c r="B36" s="127">
        <v>5694.81</v>
      </c>
      <c r="C36" s="127">
        <v>5486</v>
      </c>
      <c r="D36" s="140">
        <v>5230.3599999999997</v>
      </c>
      <c r="E36" s="113">
        <v>4053.32</v>
      </c>
      <c r="F36" s="113">
        <v>4456.26</v>
      </c>
    </row>
    <row r="37" spans="1:7" ht="18.75" x14ac:dyDescent="0.25">
      <c r="A37" s="112" t="s">
        <v>185</v>
      </c>
      <c r="B37" s="127">
        <v>18684.79</v>
      </c>
      <c r="C37" s="127">
        <v>19423</v>
      </c>
      <c r="D37" s="140">
        <v>15890.609999999997</v>
      </c>
      <c r="E37" s="113">
        <v>20376.84</v>
      </c>
      <c r="F37" s="113">
        <v>16439.71</v>
      </c>
    </row>
    <row r="38" spans="1:7" ht="18.75" x14ac:dyDescent="0.25">
      <c r="A38" s="112" t="s">
        <v>186</v>
      </c>
      <c r="B38" s="127">
        <v>4933</v>
      </c>
      <c r="C38" s="127">
        <v>4801</v>
      </c>
      <c r="D38" s="140">
        <v>4726.55</v>
      </c>
      <c r="E38" s="113">
        <v>1924.23</v>
      </c>
      <c r="F38" s="113">
        <v>4796.2</v>
      </c>
    </row>
    <row r="39" spans="1:7" ht="18.75" x14ac:dyDescent="0.25">
      <c r="A39" s="112" t="s">
        <v>187</v>
      </c>
      <c r="B39" s="127">
        <v>0</v>
      </c>
      <c r="C39" s="127">
        <v>0</v>
      </c>
      <c r="D39" s="140">
        <v>0</v>
      </c>
      <c r="E39" s="113">
        <v>4932</v>
      </c>
      <c r="F39" s="113">
        <v>917.07</v>
      </c>
    </row>
    <row r="40" spans="1:7" ht="18.75" x14ac:dyDescent="0.25">
      <c r="A40" s="112" t="s">
        <v>188</v>
      </c>
      <c r="B40" s="127">
        <v>412.38</v>
      </c>
      <c r="C40" s="127">
        <v>1145</v>
      </c>
      <c r="D40" s="140">
        <v>912.07999999999993</v>
      </c>
      <c r="E40" s="113">
        <v>358.65</v>
      </c>
      <c r="F40" s="113">
        <v>119.51</v>
      </c>
    </row>
    <row r="41" spans="1:7" ht="18.75" x14ac:dyDescent="0.25">
      <c r="A41" s="112" t="s">
        <v>189</v>
      </c>
      <c r="B41" s="127">
        <v>15329.28</v>
      </c>
      <c r="C41" s="127">
        <v>12828</v>
      </c>
      <c r="D41" s="140">
        <v>11984</v>
      </c>
      <c r="E41" s="113">
        <v>10641.78</v>
      </c>
      <c r="F41" s="113">
        <v>10283.1</v>
      </c>
    </row>
    <row r="42" spans="1:7" ht="18.75" x14ac:dyDescent="0.25">
      <c r="A42" s="112" t="s">
        <v>190</v>
      </c>
      <c r="B42" s="127">
        <v>23509.49</v>
      </c>
      <c r="C42" s="127">
        <v>25089</v>
      </c>
      <c r="D42" s="140">
        <v>22696.04</v>
      </c>
      <c r="E42" s="113">
        <v>17416.93</v>
      </c>
      <c r="F42" s="113">
        <v>14992.72</v>
      </c>
    </row>
    <row r="43" spans="1:7" ht="18.75" x14ac:dyDescent="0.25">
      <c r="A43" s="112" t="s">
        <v>191</v>
      </c>
      <c r="B43" s="127">
        <v>1151.28</v>
      </c>
      <c r="C43" s="127">
        <v>881</v>
      </c>
      <c r="D43" s="140">
        <v>1409.84</v>
      </c>
      <c r="E43" s="113">
        <v>1019.33</v>
      </c>
      <c r="F43" s="113">
        <v>1043.76</v>
      </c>
    </row>
    <row r="44" spans="1:7" ht="18.75" x14ac:dyDescent="0.25">
      <c r="A44" s="114"/>
      <c r="E44" s="64"/>
      <c r="F44" s="113"/>
      <c r="G44" s="113"/>
    </row>
    <row r="45" spans="1:7" ht="18.75" x14ac:dyDescent="0.25">
      <c r="A45" s="114"/>
      <c r="F45" s="113"/>
      <c r="G45" s="113"/>
    </row>
    <row r="46" spans="1:7" ht="19.5" x14ac:dyDescent="0.3">
      <c r="A46" s="115" t="s">
        <v>192</v>
      </c>
      <c r="C46" s="116">
        <v>141393</v>
      </c>
      <c r="D46" s="116">
        <v>149307</v>
      </c>
      <c r="E46" s="116">
        <v>137160</v>
      </c>
      <c r="F46" s="116">
        <v>129299.55</v>
      </c>
      <c r="G46" s="116">
        <v>116309.62</v>
      </c>
    </row>
    <row r="50" spans="1:5" x14ac:dyDescent="0.2">
      <c r="B50" s="125" t="s">
        <v>193</v>
      </c>
      <c r="C50" t="s">
        <v>194</v>
      </c>
      <c r="D50" t="s">
        <v>195</v>
      </c>
    </row>
    <row r="51" spans="1:5" x14ac:dyDescent="0.2">
      <c r="A51" t="s">
        <v>196</v>
      </c>
      <c r="B51" s="150">
        <f>2464+55934+25930+11762+4401+8046+9523+5227</f>
        <v>123287</v>
      </c>
      <c r="C51" s="150">
        <f>+D51-B51</f>
        <v>41159.924000000028</v>
      </c>
      <c r="D51" s="150">
        <f>+D25</f>
        <v>164446.92400000003</v>
      </c>
      <c r="E51" s="150"/>
    </row>
    <row r="53" spans="1:5" x14ac:dyDescent="0.2">
      <c r="B53" s="125" t="s">
        <v>197</v>
      </c>
      <c r="C53" t="s">
        <v>198</v>
      </c>
      <c r="D53" t="s">
        <v>199</v>
      </c>
    </row>
    <row r="54" spans="1:5" x14ac:dyDescent="0.2">
      <c r="A54" t="s">
        <v>200</v>
      </c>
      <c r="B54" s="150">
        <f>14974+33261+1082+3535+8982+5443+9230</f>
        <v>76507</v>
      </c>
      <c r="C54" s="150">
        <f>+D54-B54</f>
        <v>60653</v>
      </c>
      <c r="D54" s="150">
        <f>+E46</f>
        <v>137160</v>
      </c>
      <c r="E54" s="150"/>
    </row>
  </sheetData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>
    <oddHeader>&amp;A</oddHeader>
    <oddFooter>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46"/>
  <sheetViews>
    <sheetView zoomScale="75" zoomScaleNormal="75" workbookViewId="0">
      <selection activeCell="I23" sqref="I23"/>
    </sheetView>
  </sheetViews>
  <sheetFormatPr defaultColWidth="11.42578125" defaultRowHeight="12.75" x14ac:dyDescent="0.2"/>
  <cols>
    <col min="1" max="2" width="11.42578125" customWidth="1"/>
    <col min="3" max="3" width="5.140625" customWidth="1"/>
  </cols>
  <sheetData>
    <row r="1" spans="1:15" ht="17.100000000000001" customHeight="1" x14ac:dyDescent="0.25">
      <c r="A1" s="4" t="s">
        <v>201</v>
      </c>
      <c r="B1" s="1"/>
      <c r="C1" s="1"/>
      <c r="D1" s="1"/>
      <c r="E1" s="1"/>
      <c r="F1" s="1"/>
      <c r="G1" s="1"/>
      <c r="H1" s="1"/>
      <c r="I1" s="1"/>
    </row>
    <row r="2" spans="1:15" ht="17.100000000000001" customHeight="1" x14ac:dyDescent="0.25">
      <c r="A2" s="292" t="s">
        <v>10</v>
      </c>
      <c r="B2" s="293"/>
      <c r="C2" s="293"/>
      <c r="D2" s="293"/>
      <c r="E2" s="293"/>
      <c r="F2" s="293"/>
      <c r="G2" s="293"/>
      <c r="H2" s="293"/>
      <c r="I2" s="293"/>
    </row>
    <row r="3" spans="1:15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15" s="23" customFormat="1" ht="20.100000000000001" customHeight="1" x14ac:dyDescent="0.25">
      <c r="A4" s="20" t="s">
        <v>11</v>
      </c>
      <c r="B4" s="21"/>
      <c r="C4" s="22"/>
      <c r="D4" s="74">
        <v>1997</v>
      </c>
      <c r="E4" s="74">
        <v>1998</v>
      </c>
      <c r="F4" s="74">
        <v>1999</v>
      </c>
      <c r="G4" s="74">
        <v>2000</v>
      </c>
      <c r="H4" s="74">
        <v>2001</v>
      </c>
      <c r="I4" s="74">
        <v>2002</v>
      </c>
      <c r="J4" s="74">
        <v>2003</v>
      </c>
      <c r="K4" s="74">
        <v>2004</v>
      </c>
      <c r="L4" s="74">
        <v>2005</v>
      </c>
      <c r="M4" s="74">
        <v>2006</v>
      </c>
      <c r="N4" s="74">
        <v>2007</v>
      </c>
      <c r="O4" s="74">
        <v>2008</v>
      </c>
    </row>
    <row r="5" spans="1:15" s="24" customFormat="1" ht="20.100000000000001" customHeight="1" x14ac:dyDescent="0.2">
      <c r="A5" s="251" t="s">
        <v>13</v>
      </c>
      <c r="B5" s="252"/>
      <c r="C5" s="253"/>
      <c r="D5" s="6"/>
      <c r="E5" s="6"/>
      <c r="F5" s="6"/>
      <c r="G5" s="6">
        <v>25300</v>
      </c>
      <c r="H5" s="6">
        <v>20800</v>
      </c>
      <c r="I5" s="6">
        <v>16300</v>
      </c>
      <c r="J5" s="6">
        <v>12300</v>
      </c>
      <c r="K5" s="6">
        <v>12900</v>
      </c>
      <c r="L5" s="119"/>
      <c r="M5" s="119"/>
      <c r="N5" s="119"/>
      <c r="O5" s="119"/>
    </row>
    <row r="6" spans="1:15" s="23" customFormat="1" ht="20.100000000000001" customHeight="1" x14ac:dyDescent="0.2">
      <c r="A6" s="25" t="s">
        <v>202</v>
      </c>
      <c r="B6" s="26"/>
      <c r="C6" s="27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s="23" customFormat="1" ht="20.100000000000001" customHeight="1" x14ac:dyDescent="0.2">
      <c r="A7" s="25" t="s">
        <v>16</v>
      </c>
      <c r="B7" s="26"/>
      <c r="C7" s="27"/>
      <c r="D7" s="6"/>
      <c r="E7" s="6"/>
      <c r="F7" s="6"/>
      <c r="G7" s="6">
        <v>11100</v>
      </c>
      <c r="H7" s="6">
        <v>11100</v>
      </c>
      <c r="I7" s="6">
        <v>8100</v>
      </c>
      <c r="J7" s="6">
        <v>6800</v>
      </c>
      <c r="K7" s="6">
        <v>6800</v>
      </c>
      <c r="L7" s="6"/>
      <c r="M7" s="6"/>
      <c r="N7" s="6"/>
      <c r="O7" s="6"/>
    </row>
    <row r="8" spans="1:15" s="23" customFormat="1" ht="20.100000000000001" customHeight="1" x14ac:dyDescent="0.2">
      <c r="A8" s="25" t="s">
        <v>17</v>
      </c>
      <c r="B8" s="26"/>
      <c r="C8" s="27"/>
      <c r="D8" s="6"/>
      <c r="E8" s="6"/>
      <c r="F8" s="6"/>
      <c r="G8" s="6">
        <v>14500</v>
      </c>
      <c r="H8" s="6">
        <v>15200</v>
      </c>
      <c r="I8" s="6">
        <v>10500</v>
      </c>
      <c r="J8" s="6">
        <v>9100</v>
      </c>
      <c r="K8" s="6">
        <v>10100</v>
      </c>
      <c r="L8" s="6"/>
      <c r="M8" s="6"/>
      <c r="N8" s="6"/>
      <c r="O8" s="6"/>
    </row>
    <row r="9" spans="1:15" s="23" customFormat="1" ht="20.100000000000001" customHeight="1" x14ac:dyDescent="0.2">
      <c r="A9" s="25" t="s">
        <v>18</v>
      </c>
      <c r="B9" s="26"/>
      <c r="C9" s="27"/>
      <c r="D9" s="6"/>
      <c r="E9" s="6"/>
      <c r="F9" s="6"/>
      <c r="G9" s="6">
        <v>10700</v>
      </c>
      <c r="H9" s="6">
        <v>9600</v>
      </c>
      <c r="I9" s="6">
        <v>7700</v>
      </c>
      <c r="J9" s="6">
        <v>4700</v>
      </c>
      <c r="K9" s="6">
        <v>5000</v>
      </c>
      <c r="L9" s="6"/>
      <c r="M9" s="6"/>
      <c r="N9" s="6"/>
      <c r="O9" s="6"/>
    </row>
    <row r="10" spans="1:15" s="23" customFormat="1" ht="20.100000000000001" customHeight="1" x14ac:dyDescent="0.2">
      <c r="A10" s="25" t="s">
        <v>19</v>
      </c>
      <c r="B10" s="26"/>
      <c r="C10" s="27"/>
      <c r="D10" s="6"/>
      <c r="E10" s="6"/>
      <c r="F10" s="6"/>
      <c r="G10" s="6">
        <v>17500</v>
      </c>
      <c r="H10" s="6">
        <v>11600</v>
      </c>
      <c r="I10" s="6">
        <v>10100</v>
      </c>
      <c r="J10" s="6">
        <v>8100</v>
      </c>
      <c r="K10" s="6">
        <v>6100</v>
      </c>
      <c r="L10" s="6"/>
      <c r="M10" s="6"/>
      <c r="N10" s="6"/>
      <c r="O10" s="6"/>
    </row>
    <row r="11" spans="1:15" s="23" customFormat="1" ht="20.100000000000001" customHeight="1" x14ac:dyDescent="0.2">
      <c r="A11" s="25" t="s">
        <v>20</v>
      </c>
      <c r="B11" s="26"/>
      <c r="C11" s="27"/>
      <c r="D11" s="6"/>
      <c r="E11" s="6"/>
      <c r="F11" s="6"/>
      <c r="G11" s="6">
        <v>37900</v>
      </c>
      <c r="H11" s="6">
        <v>34800</v>
      </c>
      <c r="I11" s="6">
        <v>26100</v>
      </c>
      <c r="J11" s="6">
        <v>20300</v>
      </c>
      <c r="K11" s="6">
        <v>20500</v>
      </c>
      <c r="L11" s="6"/>
      <c r="M11" s="6"/>
      <c r="N11" s="6"/>
      <c r="O11" s="6"/>
    </row>
    <row r="12" spans="1:15" s="23" customFormat="1" ht="20.100000000000001" customHeight="1" x14ac:dyDescent="0.2">
      <c r="A12" s="25" t="s">
        <v>22</v>
      </c>
      <c r="B12" s="26"/>
      <c r="C12" s="27"/>
      <c r="D12" s="6"/>
      <c r="E12" s="6"/>
      <c r="F12" s="6"/>
      <c r="G12" s="6">
        <v>1100</v>
      </c>
      <c r="H12" s="6">
        <v>1400</v>
      </c>
      <c r="I12" s="6">
        <v>1900</v>
      </c>
      <c r="J12" s="6">
        <v>1500</v>
      </c>
      <c r="K12" s="6">
        <v>2100</v>
      </c>
      <c r="L12" s="6"/>
      <c r="M12" s="6"/>
      <c r="N12" s="6"/>
      <c r="O12" s="6"/>
    </row>
    <row r="13" spans="1:15" s="23" customFormat="1" ht="20.100000000000001" customHeight="1" x14ac:dyDescent="0.2">
      <c r="A13" s="25" t="s">
        <v>23</v>
      </c>
      <c r="B13" s="26"/>
      <c r="C13" s="27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</row>
    <row r="14" spans="1:15" s="31" customFormat="1" ht="20.100000000000001" customHeight="1" x14ac:dyDescent="0.2">
      <c r="A14" s="28" t="s">
        <v>24</v>
      </c>
      <c r="B14" s="29"/>
      <c r="C14" s="30"/>
      <c r="D14" s="79">
        <v>183688</v>
      </c>
      <c r="E14" s="79">
        <v>163841</v>
      </c>
      <c r="F14" s="79">
        <v>142882</v>
      </c>
      <c r="G14" s="79">
        <v>117402</v>
      </c>
      <c r="H14" s="79">
        <v>108564</v>
      </c>
      <c r="I14" s="79">
        <v>83225</v>
      </c>
      <c r="J14" s="79">
        <v>62195</v>
      </c>
      <c r="K14" s="79">
        <f>SUM(K5:K13)</f>
        <v>63500</v>
      </c>
      <c r="L14" s="79"/>
      <c r="M14" s="79"/>
      <c r="N14" s="79"/>
      <c r="O14" s="79"/>
    </row>
    <row r="15" spans="1:15" s="23" customFormat="1" ht="20.100000000000001" customHeight="1" x14ac:dyDescent="0.2">
      <c r="A15" s="25" t="s">
        <v>25</v>
      </c>
      <c r="B15" s="26"/>
      <c r="C15" s="27"/>
      <c r="D15" s="6"/>
      <c r="E15" s="6"/>
      <c r="F15" s="6"/>
      <c r="G15" s="6"/>
      <c r="H15" s="6"/>
      <c r="I15" s="6">
        <v>215</v>
      </c>
      <c r="J15" s="6">
        <v>205</v>
      </c>
      <c r="K15" s="6">
        <v>218</v>
      </c>
      <c r="L15" s="6"/>
      <c r="M15" s="6"/>
      <c r="N15" s="6"/>
      <c r="O15" s="6"/>
    </row>
    <row r="16" spans="1:15" s="24" customFormat="1" ht="20.100000000000001" customHeight="1" x14ac:dyDescent="0.2">
      <c r="A16" s="120" t="s">
        <v>26</v>
      </c>
      <c r="B16" s="255"/>
      <c r="C16" s="254"/>
      <c r="D16" s="6"/>
      <c r="E16" s="6"/>
      <c r="F16" s="6"/>
      <c r="G16" s="6"/>
      <c r="H16" s="6"/>
      <c r="I16" s="6"/>
      <c r="J16" s="6"/>
      <c r="K16" s="6"/>
      <c r="L16" s="119"/>
      <c r="M16" s="119"/>
      <c r="N16" s="119"/>
      <c r="O16" s="119"/>
    </row>
    <row r="17" spans="1:15" s="23" customFormat="1" ht="20.100000000000001" customHeight="1" x14ac:dyDescent="0.2">
      <c r="A17" s="25" t="s">
        <v>203</v>
      </c>
      <c r="B17" s="26"/>
      <c r="C17" s="27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</row>
    <row r="18" spans="1:15" s="23" customFormat="1" ht="20.100000000000001" customHeight="1" x14ac:dyDescent="0.2">
      <c r="A18" s="25" t="s">
        <v>28</v>
      </c>
      <c r="B18" s="26"/>
      <c r="C18" s="27"/>
      <c r="D18" s="6"/>
      <c r="E18" s="6"/>
      <c r="F18" s="6"/>
      <c r="G18" s="6"/>
      <c r="H18" s="6"/>
      <c r="I18" s="6">
        <v>2658</v>
      </c>
      <c r="J18" s="6">
        <v>1800</v>
      </c>
      <c r="K18" s="6">
        <v>1782</v>
      </c>
      <c r="L18" s="6"/>
      <c r="M18" s="6"/>
      <c r="N18" s="6"/>
      <c r="O18" s="6"/>
    </row>
    <row r="19" spans="1:15" s="23" customFormat="1" ht="20.100000000000001" customHeight="1" x14ac:dyDescent="0.2">
      <c r="A19" s="25" t="s">
        <v>29</v>
      </c>
      <c r="B19" s="26"/>
      <c r="C19" s="27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</row>
    <row r="20" spans="1:15" s="23" customFormat="1" ht="20.100000000000001" customHeight="1" x14ac:dyDescent="0.2">
      <c r="A20" s="25" t="s">
        <v>204</v>
      </c>
      <c r="B20" s="26"/>
      <c r="C20" s="27"/>
      <c r="D20" s="6"/>
      <c r="E20" s="6"/>
      <c r="F20" s="6"/>
      <c r="G20" s="6"/>
      <c r="H20" s="6"/>
      <c r="I20" s="6">
        <v>221</v>
      </c>
      <c r="J20" s="6">
        <v>232</v>
      </c>
      <c r="K20" s="6">
        <v>276</v>
      </c>
      <c r="L20" s="6"/>
      <c r="M20" s="6"/>
      <c r="N20" s="6"/>
      <c r="O20" s="6"/>
    </row>
    <row r="21" spans="1:15" s="23" customFormat="1" ht="20.100000000000001" customHeight="1" x14ac:dyDescent="0.2">
      <c r="A21" s="25" t="s">
        <v>205</v>
      </c>
      <c r="B21" s="26"/>
      <c r="C21" s="27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spans="1:15" s="23" customFormat="1" ht="20.100000000000001" customHeight="1" x14ac:dyDescent="0.2">
      <c r="A22" s="25" t="s">
        <v>33</v>
      </c>
      <c r="B22" s="26"/>
      <c r="C22" s="27"/>
      <c r="D22" s="6"/>
      <c r="E22" s="6"/>
      <c r="F22" s="6"/>
      <c r="G22" s="6"/>
      <c r="H22" s="6"/>
      <c r="I22" s="6">
        <v>1935</v>
      </c>
      <c r="J22" s="6">
        <v>1786</v>
      </c>
      <c r="K22" s="6">
        <v>3452</v>
      </c>
      <c r="L22" s="6"/>
      <c r="M22" s="6"/>
      <c r="N22" s="6"/>
      <c r="O22" s="6"/>
    </row>
    <row r="23" spans="1:15" s="23" customFormat="1" ht="20.100000000000001" customHeight="1" x14ac:dyDescent="0.2">
      <c r="A23" s="25" t="s">
        <v>34</v>
      </c>
      <c r="B23" s="26"/>
      <c r="C23" s="27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1:15" s="23" customFormat="1" ht="20.100000000000001" customHeight="1" x14ac:dyDescent="0.2">
      <c r="A24" s="25" t="s">
        <v>35</v>
      </c>
      <c r="B24" s="26"/>
      <c r="C24" s="27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1:15" s="31" customFormat="1" ht="20.100000000000001" customHeight="1" x14ac:dyDescent="0.2">
      <c r="A25" s="28" t="s">
        <v>36</v>
      </c>
      <c r="B25" s="29"/>
      <c r="C25" s="30"/>
      <c r="D25" s="79">
        <v>11317</v>
      </c>
      <c r="E25" s="79">
        <v>10633</v>
      </c>
      <c r="F25" s="79">
        <v>11150</v>
      </c>
      <c r="G25" s="79">
        <v>10127</v>
      </c>
      <c r="H25" s="79">
        <v>9234</v>
      </c>
      <c r="I25" s="79">
        <v>6564</v>
      </c>
      <c r="J25" s="79">
        <v>5936</v>
      </c>
      <c r="K25" s="79">
        <f>SUM(K15:K24)</f>
        <v>5728</v>
      </c>
      <c r="L25" s="79"/>
      <c r="M25" s="79"/>
      <c r="N25" s="79"/>
      <c r="O25" s="79"/>
    </row>
    <row r="26" spans="1:15" s="23" customFormat="1" ht="20.100000000000001" customHeight="1" x14ac:dyDescent="0.2">
      <c r="A26" s="25" t="s">
        <v>37</v>
      </c>
      <c r="B26" s="26"/>
      <c r="C26" s="27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s="24" customFormat="1" ht="20.100000000000001" customHeight="1" x14ac:dyDescent="0.2">
      <c r="A27" s="120" t="s">
        <v>38</v>
      </c>
      <c r="B27" s="255"/>
      <c r="C27" s="254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</row>
    <row r="28" spans="1:15" s="23" customFormat="1" ht="20.100000000000001" customHeight="1" x14ac:dyDescent="0.2">
      <c r="A28" s="25" t="s">
        <v>39</v>
      </c>
      <c r="B28" s="26"/>
      <c r="C28" s="27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1:15" s="23" customFormat="1" ht="20.100000000000001" customHeight="1" x14ac:dyDescent="0.2">
      <c r="A29" s="32" t="s">
        <v>40</v>
      </c>
      <c r="B29" s="33"/>
      <c r="C29" s="34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1:15" s="23" customFormat="1" ht="20.100000000000001" customHeight="1" x14ac:dyDescent="0.2">
      <c r="A30" s="25" t="s">
        <v>41</v>
      </c>
      <c r="B30" s="26"/>
      <c r="C30" s="2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1:15" s="23" customFormat="1" ht="20.100000000000001" customHeight="1" x14ac:dyDescent="0.2">
      <c r="A31" s="32" t="s">
        <v>42</v>
      </c>
      <c r="B31" s="26"/>
      <c r="C31" s="27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2" spans="1:15" s="23" customFormat="1" ht="20.100000000000001" customHeight="1" x14ac:dyDescent="0.2">
      <c r="A32" s="25" t="s">
        <v>43</v>
      </c>
      <c r="B32" s="26"/>
      <c r="C32" s="27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</row>
    <row r="33" spans="1:256" s="23" customFormat="1" ht="20.100000000000001" customHeight="1" x14ac:dyDescent="0.2">
      <c r="A33" s="25" t="s">
        <v>44</v>
      </c>
      <c r="B33" s="26"/>
      <c r="C33" s="2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</row>
    <row r="34" spans="1:256" s="31" customFormat="1" ht="20.100000000000001" customHeight="1" x14ac:dyDescent="0.2">
      <c r="A34" s="28" t="s">
        <v>45</v>
      </c>
      <c r="B34" s="29"/>
      <c r="C34" s="30"/>
      <c r="D34" s="79">
        <v>16200</v>
      </c>
      <c r="E34" s="79">
        <v>13200</v>
      </c>
      <c r="F34" s="79">
        <v>11000</v>
      </c>
      <c r="G34" s="79">
        <v>9700</v>
      </c>
      <c r="H34" s="79">
        <v>8100</v>
      </c>
      <c r="I34" s="79">
        <v>6100</v>
      </c>
      <c r="J34" s="79">
        <v>4700</v>
      </c>
      <c r="K34" s="79">
        <v>4800</v>
      </c>
      <c r="L34" s="79"/>
      <c r="M34" s="79"/>
      <c r="N34" s="79"/>
      <c r="O34" s="79"/>
    </row>
    <row r="35" spans="1:256" s="23" customFormat="1" ht="20.100000000000001" customHeight="1" x14ac:dyDescent="0.2">
      <c r="A35" s="25" t="s">
        <v>46</v>
      </c>
      <c r="B35" s="26"/>
      <c r="C35" s="27"/>
      <c r="D35" s="6"/>
      <c r="E35" s="6"/>
      <c r="F35" s="6"/>
      <c r="G35" s="6"/>
      <c r="H35" s="6"/>
      <c r="I35" s="6"/>
      <c r="J35" s="6"/>
      <c r="K35" s="6" t="s">
        <v>32</v>
      </c>
      <c r="L35" s="6"/>
      <c r="M35" s="6"/>
      <c r="N35" s="6"/>
      <c r="O35" s="6"/>
    </row>
    <row r="36" spans="1:256" s="24" customFormat="1" ht="20.100000000000001" customHeight="1" x14ac:dyDescent="0.2">
      <c r="A36" s="120" t="s">
        <v>47</v>
      </c>
      <c r="B36" s="255"/>
      <c r="C36" s="254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  <c r="BR36" s="150"/>
      <c r="BS36" s="150"/>
      <c r="BT36" s="150"/>
      <c r="BU36" s="150"/>
      <c r="BV36" s="150"/>
      <c r="BW36" s="150"/>
      <c r="BX36" s="150"/>
      <c r="BY36" s="150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  <c r="CU36" s="150"/>
      <c r="CV36" s="150"/>
      <c r="CW36" s="150"/>
      <c r="CX36" s="150"/>
      <c r="CY36" s="150"/>
      <c r="CZ36" s="150"/>
      <c r="DA36" s="150"/>
      <c r="DB36" s="150"/>
      <c r="DC36" s="150"/>
      <c r="DD36" s="150"/>
      <c r="DE36" s="150"/>
      <c r="DF36" s="150"/>
      <c r="DG36" s="150"/>
      <c r="DH36" s="150"/>
      <c r="DI36" s="150"/>
      <c r="DJ36" s="150"/>
      <c r="DK36" s="150"/>
      <c r="DL36" s="150"/>
      <c r="DM36" s="150"/>
      <c r="DN36" s="150"/>
      <c r="DO36" s="150"/>
      <c r="DP36" s="150"/>
      <c r="DQ36" s="150"/>
      <c r="DR36" s="150"/>
      <c r="DS36" s="150"/>
      <c r="DT36" s="150"/>
      <c r="DU36" s="150"/>
      <c r="DV36" s="150"/>
      <c r="DW36" s="150"/>
      <c r="DX36" s="150"/>
      <c r="DY36" s="150"/>
      <c r="DZ36" s="150"/>
      <c r="EA36" s="150"/>
      <c r="EB36" s="150"/>
      <c r="EC36" s="150"/>
      <c r="ED36" s="150"/>
      <c r="EE36" s="150"/>
      <c r="EF36" s="150"/>
      <c r="EG36" s="150"/>
      <c r="EH36" s="150"/>
      <c r="EI36" s="150"/>
      <c r="EJ36" s="150"/>
      <c r="EK36" s="150"/>
      <c r="EL36" s="150"/>
      <c r="EM36" s="150"/>
      <c r="EN36" s="150"/>
      <c r="EO36" s="150"/>
      <c r="EP36" s="150"/>
      <c r="EQ36" s="150"/>
      <c r="ER36" s="150"/>
      <c r="ES36" s="150"/>
      <c r="ET36" s="150"/>
      <c r="EU36" s="150"/>
      <c r="EV36" s="150"/>
      <c r="EW36" s="150"/>
      <c r="EX36" s="150"/>
      <c r="EY36" s="150"/>
      <c r="EZ36" s="150"/>
      <c r="FA36" s="150"/>
      <c r="FB36" s="150"/>
      <c r="FC36" s="150"/>
      <c r="FD36" s="150"/>
      <c r="FE36" s="150"/>
      <c r="FF36" s="150"/>
      <c r="FG36" s="15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  <c r="IU36" s="150"/>
      <c r="IV36" s="150"/>
    </row>
    <row r="37" spans="1:256" s="24" customFormat="1" ht="20.100000000000001" customHeight="1" x14ac:dyDescent="0.2">
      <c r="A37" s="120" t="s">
        <v>48</v>
      </c>
      <c r="B37" s="255"/>
      <c r="C37" s="254"/>
      <c r="D37" s="325"/>
      <c r="E37" s="325"/>
      <c r="F37" s="325"/>
      <c r="G37" s="325">
        <v>1500</v>
      </c>
      <c r="H37" s="325">
        <v>1400</v>
      </c>
      <c r="I37" s="325">
        <v>1200</v>
      </c>
      <c r="J37" s="325">
        <v>1600</v>
      </c>
      <c r="K37" s="325">
        <v>1800</v>
      </c>
      <c r="L37" s="325"/>
      <c r="M37" s="119"/>
      <c r="N37" s="119"/>
      <c r="O37" s="119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  <c r="ER37" s="150"/>
      <c r="ES37" s="150"/>
      <c r="ET37" s="150"/>
      <c r="EU37" s="150"/>
      <c r="EV37" s="150"/>
      <c r="EW37" s="150"/>
      <c r="EX37" s="150"/>
      <c r="EY37" s="150"/>
      <c r="EZ37" s="150"/>
      <c r="FA37" s="150"/>
      <c r="FB37" s="150"/>
      <c r="FC37" s="150"/>
      <c r="FD37" s="150"/>
      <c r="FE37" s="150"/>
      <c r="FF37" s="150"/>
      <c r="FG37" s="15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  <c r="IU37" s="150"/>
      <c r="IV37" s="150"/>
    </row>
    <row r="38" spans="1:256" s="23" customFormat="1" ht="20.100000000000001" customHeight="1" x14ac:dyDescent="0.2">
      <c r="A38" s="120" t="s">
        <v>49</v>
      </c>
      <c r="B38" s="26"/>
      <c r="C38" s="27"/>
      <c r="D38" s="326"/>
      <c r="E38" s="326"/>
      <c r="F38" s="326"/>
      <c r="G38" s="326"/>
      <c r="H38" s="326"/>
      <c r="I38" s="326"/>
      <c r="J38" s="326"/>
      <c r="K38" s="326"/>
      <c r="L38" s="326"/>
      <c r="M38" s="6"/>
      <c r="N38" s="6"/>
      <c r="O38" s="6"/>
    </row>
    <row r="39" spans="1:256" s="23" customFormat="1" ht="20.100000000000001" customHeight="1" x14ac:dyDescent="0.2">
      <c r="A39" s="25" t="s">
        <v>50</v>
      </c>
      <c r="B39" s="26"/>
      <c r="C39" s="27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</row>
    <row r="40" spans="1:256" s="23" customFormat="1" ht="20.100000000000001" customHeight="1" x14ac:dyDescent="0.2">
      <c r="A40" s="25" t="s">
        <v>51</v>
      </c>
      <c r="B40" s="26"/>
      <c r="C40" s="27"/>
      <c r="D40" s="6"/>
      <c r="E40" s="6"/>
      <c r="F40" s="6"/>
      <c r="G40" s="6">
        <v>6900</v>
      </c>
      <c r="H40" s="6">
        <v>7000</v>
      </c>
      <c r="I40" s="6">
        <v>6900</v>
      </c>
      <c r="J40" s="6">
        <v>6300</v>
      </c>
      <c r="K40" s="6">
        <v>6200</v>
      </c>
      <c r="L40" s="6"/>
      <c r="M40" s="6"/>
      <c r="N40" s="6"/>
      <c r="O40" s="6"/>
    </row>
    <row r="41" spans="1:256" s="23" customFormat="1" ht="20.100000000000001" customHeight="1" x14ac:dyDescent="0.2">
      <c r="A41" s="25" t="s">
        <v>52</v>
      </c>
      <c r="B41" s="26"/>
      <c r="C41" s="27"/>
      <c r="D41" s="6">
        <v>2407</v>
      </c>
      <c r="E41" s="6">
        <v>2171</v>
      </c>
      <c r="F41" s="6">
        <v>1735</v>
      </c>
      <c r="G41" s="6">
        <v>1482</v>
      </c>
      <c r="H41" s="6">
        <v>1141</v>
      </c>
      <c r="I41" s="6">
        <v>1209</v>
      </c>
      <c r="J41" s="6">
        <v>1509</v>
      </c>
      <c r="K41" s="6">
        <v>1108</v>
      </c>
      <c r="L41" s="6"/>
      <c r="M41" s="6"/>
      <c r="N41" s="6"/>
      <c r="O41" s="6"/>
    </row>
    <row r="42" spans="1:256" s="23" customFormat="1" ht="20.100000000000001" customHeight="1" x14ac:dyDescent="0.2">
      <c r="A42" s="25" t="s">
        <v>53</v>
      </c>
      <c r="B42" s="26"/>
      <c r="C42" s="27"/>
      <c r="D42" s="6"/>
      <c r="E42" s="6"/>
      <c r="F42" s="6"/>
      <c r="G42" s="6">
        <v>500</v>
      </c>
      <c r="H42" s="6">
        <v>700</v>
      </c>
      <c r="I42" s="6">
        <v>800</v>
      </c>
      <c r="J42" s="6">
        <v>700</v>
      </c>
      <c r="K42" s="6">
        <v>400</v>
      </c>
      <c r="L42" s="6"/>
      <c r="M42" s="6"/>
      <c r="N42" s="6"/>
      <c r="O42" s="6"/>
    </row>
    <row r="43" spans="1:256" s="23" customFormat="1" ht="20.100000000000001" customHeight="1" x14ac:dyDescent="0.2">
      <c r="A43" s="25" t="s">
        <v>54</v>
      </c>
      <c r="B43" s="26"/>
      <c r="C43" s="2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256" s="31" customFormat="1" ht="20.100000000000001" customHeight="1" x14ac:dyDescent="0.2">
      <c r="A44" s="35" t="s">
        <v>55</v>
      </c>
      <c r="B44" s="36"/>
      <c r="C44" s="37"/>
      <c r="D44" s="83">
        <f>D34+D25+D14</f>
        <v>211205</v>
      </c>
      <c r="E44" s="83">
        <f t="shared" ref="E44:K44" si="0">E34+E25+E14</f>
        <v>187674</v>
      </c>
      <c r="F44" s="83">
        <f t="shared" si="0"/>
        <v>165032</v>
      </c>
      <c r="G44" s="83">
        <f t="shared" si="0"/>
        <v>137229</v>
      </c>
      <c r="H44" s="83">
        <f t="shared" si="0"/>
        <v>125898</v>
      </c>
      <c r="I44" s="83">
        <f t="shared" si="0"/>
        <v>95889</v>
      </c>
      <c r="J44" s="83">
        <f t="shared" si="0"/>
        <v>72831</v>
      </c>
      <c r="K44" s="83">
        <f t="shared" si="0"/>
        <v>74028</v>
      </c>
      <c r="L44" s="79"/>
      <c r="M44" s="79"/>
      <c r="N44" s="79"/>
      <c r="O44" s="79"/>
    </row>
    <row r="45" spans="1:256" s="17" customFormat="1" x14ac:dyDescent="0.2">
      <c r="F45" s="18" t="s">
        <v>32</v>
      </c>
      <c r="G45" s="18" t="s">
        <v>32</v>
      </c>
      <c r="I45" s="19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x14ac:dyDescent="0.2">
      <c r="A46" s="125"/>
      <c r="B46" s="125"/>
      <c r="C46" s="125"/>
      <c r="D46" s="125"/>
      <c r="E46" s="125"/>
      <c r="F46" s="125"/>
      <c r="G46" s="125"/>
      <c r="H46" s="125"/>
    </row>
  </sheetData>
  <mergeCells count="10">
    <mergeCell ref="J37:J38"/>
    <mergeCell ref="K37:K38"/>
    <mergeCell ref="L37:L38"/>
    <mergeCell ref="A2:I2"/>
    <mergeCell ref="D37:D38"/>
    <mergeCell ref="E37:E38"/>
    <mergeCell ref="F37:F38"/>
    <mergeCell ref="G37:G38"/>
    <mergeCell ref="H37:H38"/>
    <mergeCell ref="I37:I38"/>
  </mergeCells>
  <phoneticPr fontId="0" type="noConversion"/>
  <pageMargins left="0.24" right="0.24" top="0.35" bottom="0.34" header="0.22" footer="0.18"/>
  <pageSetup paperSize="9" scale="77" orientation="portrait" horizontalDpi="300" verticalDpi="300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IU51"/>
  <sheetViews>
    <sheetView tabSelected="1" zoomScale="95" zoomScaleNormal="75" workbookViewId="0">
      <pane xSplit="3" ySplit="4" topLeftCell="P23" activePane="bottomRight" state="frozen"/>
      <selection pane="topRight" activeCell="Z16" sqref="Z16"/>
      <selection pane="bottomLeft" activeCell="Z16" sqref="Z16"/>
      <selection pane="bottomRight" activeCell="AD41" sqref="AD41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15" width="0" hidden="1" customWidth="1"/>
    <col min="16" max="16" width="11.42578125" customWidth="1"/>
    <col min="17" max="17" width="11.5703125" customWidth="1"/>
    <col min="18" max="20" width="11.5703125" style="146" customWidth="1"/>
    <col min="21" max="21" width="11.5703125" style="176" customWidth="1"/>
    <col min="22" max="24" width="9.140625" customWidth="1"/>
    <col min="25" max="25" width="9.28515625" customWidth="1"/>
    <col min="26" max="26" width="10.85546875" customWidth="1"/>
    <col min="27" max="27" width="9.28515625" customWidth="1"/>
    <col min="28" max="28" width="9.42578125" customWidth="1"/>
    <col min="29" max="29" width="9.85546875" customWidth="1"/>
    <col min="30" max="30" width="10" customWidth="1"/>
  </cols>
  <sheetData>
    <row r="1" spans="1:30" ht="17.100000000000001" customHeight="1" x14ac:dyDescent="0.25">
      <c r="A1" s="69" t="s">
        <v>9</v>
      </c>
      <c r="B1" s="70"/>
      <c r="C1" s="70"/>
      <c r="D1" s="1"/>
      <c r="E1" s="1"/>
      <c r="F1" s="1"/>
      <c r="G1" s="1"/>
      <c r="H1" s="1"/>
      <c r="I1" s="1"/>
    </row>
    <row r="2" spans="1:30" ht="17.100000000000001" customHeight="1" x14ac:dyDescent="0.25">
      <c r="A2" s="292" t="s">
        <v>10</v>
      </c>
      <c r="B2" s="293"/>
      <c r="C2" s="293"/>
      <c r="D2" s="293"/>
      <c r="E2" s="293"/>
      <c r="F2" s="293"/>
      <c r="G2" s="293"/>
      <c r="H2" s="293"/>
      <c r="I2" s="293"/>
      <c r="AC2" s="328"/>
    </row>
    <row r="3" spans="1:30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AA3" s="328"/>
      <c r="AB3" s="329"/>
    </row>
    <row r="4" spans="1:30" s="23" customFormat="1" ht="20.100000000000001" customHeight="1" x14ac:dyDescent="0.25">
      <c r="A4" s="71" t="s">
        <v>11</v>
      </c>
      <c r="B4" s="72"/>
      <c r="C4" s="73"/>
      <c r="D4" s="74">
        <v>1997</v>
      </c>
      <c r="E4" s="74">
        <v>1998</v>
      </c>
      <c r="F4" s="74">
        <v>1999</v>
      </c>
      <c r="G4" s="74">
        <v>2000</v>
      </c>
      <c r="H4" s="74">
        <v>2001</v>
      </c>
      <c r="I4" s="74">
        <v>2002</v>
      </c>
      <c r="J4" s="74">
        <v>2003</v>
      </c>
      <c r="K4" s="74">
        <v>2004</v>
      </c>
      <c r="L4" s="74">
        <v>2005</v>
      </c>
      <c r="M4" s="74" t="s">
        <v>12</v>
      </c>
      <c r="N4" s="74">
        <v>2007</v>
      </c>
      <c r="O4" s="74">
        <v>2008</v>
      </c>
      <c r="P4" s="74">
        <v>2009</v>
      </c>
      <c r="Q4" s="74">
        <v>2010</v>
      </c>
      <c r="R4" s="74">
        <v>2011</v>
      </c>
      <c r="S4" s="74">
        <v>2012</v>
      </c>
      <c r="T4" s="204">
        <v>2013</v>
      </c>
      <c r="U4" s="204">
        <v>2014</v>
      </c>
      <c r="V4" s="204">
        <v>2015</v>
      </c>
      <c r="W4" s="204">
        <v>2016</v>
      </c>
      <c r="X4" s="204">
        <v>2017</v>
      </c>
      <c r="Y4" s="204">
        <v>2018</v>
      </c>
      <c r="Z4" s="204">
        <v>2019</v>
      </c>
      <c r="AA4" s="204">
        <v>2020</v>
      </c>
      <c r="AB4" s="327">
        <v>2021</v>
      </c>
      <c r="AC4" s="204">
        <v>2022</v>
      </c>
      <c r="AD4" s="204">
        <v>2023</v>
      </c>
    </row>
    <row r="5" spans="1:30" s="24" customFormat="1" ht="20.100000000000001" customHeight="1" x14ac:dyDescent="0.2">
      <c r="A5" s="251" t="s">
        <v>13</v>
      </c>
      <c r="B5" s="252"/>
      <c r="C5" s="253"/>
      <c r="D5" s="6">
        <v>215</v>
      </c>
      <c r="E5" s="6">
        <v>127</v>
      </c>
      <c r="F5" s="6">
        <v>173</v>
      </c>
      <c r="G5" s="6">
        <v>140</v>
      </c>
      <c r="H5" s="6">
        <v>228</v>
      </c>
      <c r="I5" s="6">
        <v>183</v>
      </c>
      <c r="J5" s="6">
        <v>298</v>
      </c>
      <c r="K5" s="119">
        <v>193</v>
      </c>
      <c r="L5" s="6">
        <v>339</v>
      </c>
      <c r="M5" s="294">
        <v>1277</v>
      </c>
      <c r="N5" s="296">
        <v>1427</v>
      </c>
      <c r="O5" s="119">
        <f>590/100</f>
        <v>5.9</v>
      </c>
      <c r="P5" s="119">
        <v>10</v>
      </c>
      <c r="Q5" s="119"/>
      <c r="R5" s="119"/>
      <c r="S5" s="119"/>
      <c r="T5" s="119">
        <v>1</v>
      </c>
      <c r="U5" s="119">
        <v>12</v>
      </c>
      <c r="V5" s="5">
        <v>24</v>
      </c>
      <c r="W5" s="5"/>
      <c r="X5" s="5"/>
      <c r="Y5" s="5">
        <v>15</v>
      </c>
      <c r="Z5" s="5"/>
      <c r="AA5" s="237"/>
      <c r="AB5" s="237"/>
      <c r="AC5" s="237"/>
      <c r="AD5" s="237"/>
    </row>
    <row r="6" spans="1:30" s="23" customFormat="1" ht="20.100000000000001" customHeight="1" x14ac:dyDescent="0.2">
      <c r="A6" s="25" t="s">
        <v>14</v>
      </c>
      <c r="B6" s="26"/>
      <c r="C6" s="27"/>
      <c r="D6" s="6">
        <v>1089</v>
      </c>
      <c r="E6" s="6">
        <v>1228</v>
      </c>
      <c r="F6" s="6">
        <v>1189</v>
      </c>
      <c r="G6" s="6">
        <v>1256</v>
      </c>
      <c r="H6" s="6">
        <v>919</v>
      </c>
      <c r="I6" s="6">
        <v>878</v>
      </c>
      <c r="J6" s="6">
        <v>540</v>
      </c>
      <c r="K6" s="254">
        <v>796</v>
      </c>
      <c r="L6" s="254">
        <v>819</v>
      </c>
      <c r="M6" s="295"/>
      <c r="N6" s="297"/>
      <c r="O6" s="6">
        <f>152+1474.22</f>
        <v>1626.22</v>
      </c>
      <c r="P6" s="6">
        <f>109+1196.3</f>
        <v>1305.3</v>
      </c>
      <c r="Q6" s="6"/>
      <c r="R6" s="119"/>
      <c r="S6" s="119"/>
      <c r="T6" s="119">
        <v>1142.51</v>
      </c>
      <c r="U6" s="6">
        <v>1194</v>
      </c>
      <c r="V6" s="6">
        <v>1207</v>
      </c>
      <c r="W6" s="5">
        <v>1275</v>
      </c>
      <c r="X6" s="5">
        <v>1434</v>
      </c>
      <c r="Y6" s="5">
        <v>1205</v>
      </c>
      <c r="Z6" s="5">
        <v>1214</v>
      </c>
      <c r="AA6" s="185">
        <v>1198</v>
      </c>
      <c r="AB6" s="185">
        <v>1179</v>
      </c>
      <c r="AC6" s="185">
        <v>1073</v>
      </c>
      <c r="AD6" s="185">
        <v>965</v>
      </c>
    </row>
    <row r="7" spans="1:30" s="23" customFormat="1" ht="20.100000000000001" customHeight="1" x14ac:dyDescent="0.2">
      <c r="A7" s="25" t="s">
        <v>15</v>
      </c>
      <c r="B7" s="26"/>
      <c r="C7" s="27"/>
      <c r="D7" s="6">
        <f>+D5+D6</f>
        <v>1304</v>
      </c>
      <c r="E7" s="6">
        <f t="shared" ref="E7:P7" si="0">+E5+E6</f>
        <v>1355</v>
      </c>
      <c r="F7" s="6">
        <f t="shared" si="0"/>
        <v>1362</v>
      </c>
      <c r="G7" s="6">
        <f t="shared" si="0"/>
        <v>1396</v>
      </c>
      <c r="H7" s="6">
        <f t="shared" si="0"/>
        <v>1147</v>
      </c>
      <c r="I7" s="6">
        <f t="shared" si="0"/>
        <v>1061</v>
      </c>
      <c r="J7" s="6">
        <f t="shared" si="0"/>
        <v>838</v>
      </c>
      <c r="K7" s="6">
        <f t="shared" si="0"/>
        <v>989</v>
      </c>
      <c r="L7" s="6">
        <v>1270</v>
      </c>
      <c r="M7" s="6">
        <f t="shared" si="0"/>
        <v>1277</v>
      </c>
      <c r="N7" s="6">
        <f t="shared" si="0"/>
        <v>1427</v>
      </c>
      <c r="O7" s="6">
        <f t="shared" si="0"/>
        <v>1632.1200000000001</v>
      </c>
      <c r="P7" s="6">
        <f t="shared" si="0"/>
        <v>1315.3</v>
      </c>
      <c r="Q7" s="6">
        <v>2012</v>
      </c>
      <c r="R7" s="177">
        <v>1930</v>
      </c>
      <c r="S7" s="119">
        <v>1005</v>
      </c>
      <c r="T7" s="119">
        <v>1144</v>
      </c>
      <c r="U7" s="6">
        <v>1206</v>
      </c>
      <c r="V7" s="6">
        <v>1231</v>
      </c>
      <c r="W7" s="6"/>
      <c r="X7" s="6"/>
      <c r="Y7" s="6">
        <v>1220</v>
      </c>
      <c r="Z7" s="6">
        <v>1214</v>
      </c>
      <c r="AA7" s="6">
        <f t="shared" ref="AA7" si="1">+AA5+AA6</f>
        <v>1198</v>
      </c>
      <c r="AB7" s="6"/>
      <c r="AC7" s="6"/>
      <c r="AD7" s="6"/>
    </row>
    <row r="8" spans="1:30" s="23" customFormat="1" ht="20.100000000000001" customHeight="1" x14ac:dyDescent="0.2">
      <c r="A8" s="25" t="s">
        <v>16</v>
      </c>
      <c r="B8" s="26"/>
      <c r="C8" s="27"/>
      <c r="D8" s="6">
        <v>164</v>
      </c>
      <c r="E8" s="6">
        <v>140</v>
      </c>
      <c r="F8" s="6">
        <v>106</v>
      </c>
      <c r="G8" s="6">
        <v>42</v>
      </c>
      <c r="H8" s="6">
        <v>37</v>
      </c>
      <c r="I8" s="6">
        <v>27</v>
      </c>
      <c r="J8" s="6">
        <v>40</v>
      </c>
      <c r="K8" s="6">
        <v>72</v>
      </c>
      <c r="L8" s="6">
        <v>58.39</v>
      </c>
      <c r="M8" s="6">
        <v>44</v>
      </c>
      <c r="N8" s="6">
        <v>56</v>
      </c>
      <c r="O8" s="6">
        <v>34</v>
      </c>
      <c r="P8" s="6">
        <v>8</v>
      </c>
      <c r="Q8" s="6">
        <v>16</v>
      </c>
      <c r="R8" s="119">
        <v>15</v>
      </c>
      <c r="S8" s="119">
        <v>17</v>
      </c>
      <c r="T8" s="119">
        <v>18</v>
      </c>
      <c r="U8" s="6">
        <v>19</v>
      </c>
      <c r="V8" s="5"/>
      <c r="W8" s="5"/>
      <c r="X8" s="5"/>
      <c r="Y8" s="5">
        <v>44</v>
      </c>
      <c r="Z8" s="5">
        <v>21</v>
      </c>
      <c r="AA8" s="185"/>
      <c r="AB8" s="185">
        <v>35</v>
      </c>
      <c r="AC8" s="185">
        <v>39</v>
      </c>
      <c r="AD8" s="185">
        <v>23</v>
      </c>
    </row>
    <row r="9" spans="1:30" s="23" customFormat="1" ht="20.100000000000001" customHeight="1" x14ac:dyDescent="0.2">
      <c r="A9" s="25" t="s">
        <v>17</v>
      </c>
      <c r="B9" s="26"/>
      <c r="C9" s="27"/>
      <c r="D9" s="6">
        <v>256</v>
      </c>
      <c r="E9" s="6">
        <v>283</v>
      </c>
      <c r="F9" s="6">
        <v>225</v>
      </c>
      <c r="G9" s="6">
        <v>211</v>
      </c>
      <c r="H9" s="6">
        <v>230</v>
      </c>
      <c r="I9" s="6">
        <v>260</v>
      </c>
      <c r="J9" s="6">
        <v>287</v>
      </c>
      <c r="K9" s="6">
        <v>298</v>
      </c>
      <c r="L9" s="6">
        <v>235</v>
      </c>
      <c r="M9" s="6">
        <v>222</v>
      </c>
      <c r="N9" s="6">
        <v>222</v>
      </c>
      <c r="O9" s="6">
        <v>245</v>
      </c>
      <c r="P9" s="6">
        <v>203</v>
      </c>
      <c r="Q9" s="6">
        <v>216</v>
      </c>
      <c r="R9" s="119">
        <v>180</v>
      </c>
      <c r="S9" s="119">
        <v>222.5</v>
      </c>
      <c r="T9" s="119">
        <v>211.15</v>
      </c>
      <c r="U9" s="6">
        <v>153</v>
      </c>
      <c r="V9" s="5">
        <v>142</v>
      </c>
      <c r="W9" s="5">
        <v>170</v>
      </c>
      <c r="X9" s="5">
        <v>227</v>
      </c>
      <c r="Y9" s="5">
        <v>176</v>
      </c>
      <c r="Z9" s="5">
        <v>287</v>
      </c>
      <c r="AA9" s="185">
        <v>319</v>
      </c>
      <c r="AB9" s="185">
        <v>254</v>
      </c>
      <c r="AC9" s="185">
        <v>279</v>
      </c>
      <c r="AD9" s="185">
        <v>280</v>
      </c>
    </row>
    <row r="10" spans="1:30" s="23" customFormat="1" ht="20.100000000000001" customHeight="1" x14ac:dyDescent="0.2">
      <c r="A10" s="25" t="s">
        <v>18</v>
      </c>
      <c r="B10" s="26"/>
      <c r="C10" s="27"/>
      <c r="D10" s="6"/>
      <c r="E10" s="6"/>
      <c r="F10" s="6"/>
      <c r="G10" s="6">
        <v>137</v>
      </c>
      <c r="H10" s="6">
        <v>188</v>
      </c>
      <c r="I10" s="6">
        <v>188</v>
      </c>
      <c r="J10" s="6">
        <v>192</v>
      </c>
      <c r="K10" s="6">
        <v>100</v>
      </c>
      <c r="L10" s="6">
        <v>59</v>
      </c>
      <c r="M10" s="6">
        <f>34+82.55</f>
        <v>116.55</v>
      </c>
      <c r="N10" s="6">
        <v>116</v>
      </c>
      <c r="O10" s="6">
        <f>(2508/100)+176.07</f>
        <v>201.14999999999998</v>
      </c>
      <c r="P10" s="6">
        <v>121</v>
      </c>
      <c r="Q10" s="6">
        <v>84</v>
      </c>
      <c r="R10" s="119">
        <v>61</v>
      </c>
      <c r="S10" s="119">
        <v>41</v>
      </c>
      <c r="T10" s="119">
        <v>45.14</v>
      </c>
      <c r="U10" s="6">
        <v>41</v>
      </c>
      <c r="V10" s="5">
        <v>56</v>
      </c>
      <c r="W10" s="5">
        <v>27</v>
      </c>
      <c r="X10" s="5">
        <v>19</v>
      </c>
      <c r="Y10" s="5"/>
      <c r="Z10" s="5">
        <v>22</v>
      </c>
      <c r="AA10" s="185">
        <v>104</v>
      </c>
      <c r="AB10" s="185">
        <v>110</v>
      </c>
      <c r="AC10" s="185">
        <v>107</v>
      </c>
      <c r="AD10" s="185">
        <v>109.53</v>
      </c>
    </row>
    <row r="11" spans="1:30" s="23" customFormat="1" ht="20.100000000000001" customHeight="1" x14ac:dyDescent="0.2">
      <c r="A11" s="25" t="s">
        <v>19</v>
      </c>
      <c r="B11" s="26"/>
      <c r="C11" s="27"/>
      <c r="D11" s="6"/>
      <c r="E11" s="6"/>
      <c r="F11" s="6"/>
      <c r="G11" s="6">
        <v>20</v>
      </c>
      <c r="H11" s="6">
        <v>25</v>
      </c>
      <c r="I11" s="6">
        <v>32</v>
      </c>
      <c r="J11" s="6">
        <v>73</v>
      </c>
      <c r="K11" s="6"/>
      <c r="L11" s="6">
        <v>58</v>
      </c>
      <c r="M11" s="294">
        <v>5499</v>
      </c>
      <c r="N11" s="6"/>
      <c r="O11" s="6"/>
      <c r="P11" s="6"/>
      <c r="Q11" s="6"/>
      <c r="R11" s="119">
        <v>16</v>
      </c>
      <c r="S11" s="119"/>
      <c r="T11" s="119"/>
      <c r="U11" s="6">
        <v>5</v>
      </c>
      <c r="V11" s="5">
        <v>30</v>
      </c>
      <c r="W11" s="5">
        <v>7</v>
      </c>
      <c r="X11" s="5"/>
      <c r="Y11" s="5"/>
      <c r="Z11" s="5"/>
      <c r="AA11" s="238"/>
      <c r="AB11" s="238"/>
      <c r="AC11" s="238"/>
      <c r="AD11" s="238"/>
    </row>
    <row r="12" spans="1:30" s="23" customFormat="1" ht="20.100000000000001" customHeight="1" x14ac:dyDescent="0.2">
      <c r="A12" s="25" t="s">
        <v>20</v>
      </c>
      <c r="B12" s="26"/>
      <c r="C12" s="27"/>
      <c r="D12" s="6">
        <v>4353</v>
      </c>
      <c r="E12" s="6">
        <v>4631</v>
      </c>
      <c r="F12" s="6">
        <v>4720</v>
      </c>
      <c r="G12" s="6">
        <v>4661</v>
      </c>
      <c r="H12" s="6">
        <v>4774</v>
      </c>
      <c r="I12" s="6">
        <v>4562</v>
      </c>
      <c r="J12" s="6">
        <v>4430</v>
      </c>
      <c r="K12" s="6">
        <v>5124</v>
      </c>
      <c r="L12" s="6">
        <v>5218</v>
      </c>
      <c r="M12" s="295"/>
      <c r="N12" s="6">
        <v>5548</v>
      </c>
      <c r="O12" s="6">
        <v>5364</v>
      </c>
      <c r="P12" s="6">
        <v>5327</v>
      </c>
      <c r="Q12" s="6">
        <v>4473</v>
      </c>
      <c r="R12" s="119">
        <v>4839</v>
      </c>
      <c r="S12" s="119">
        <v>4734</v>
      </c>
      <c r="T12" s="119">
        <v>4193.7</v>
      </c>
      <c r="U12" s="6">
        <v>4629</v>
      </c>
      <c r="V12" s="6">
        <v>4772</v>
      </c>
      <c r="W12" s="6">
        <v>4970</v>
      </c>
      <c r="X12" s="6">
        <v>5151</v>
      </c>
      <c r="Y12" s="6">
        <v>5150</v>
      </c>
      <c r="Z12" s="6">
        <v>4956</v>
      </c>
      <c r="AA12" s="239">
        <v>4146</v>
      </c>
      <c r="AB12" s="239">
        <v>4118</v>
      </c>
      <c r="AC12" s="239">
        <v>3951</v>
      </c>
      <c r="AD12" s="239">
        <v>3766</v>
      </c>
    </row>
    <row r="13" spans="1:30" s="23" customFormat="1" ht="20.100000000000001" customHeight="1" x14ac:dyDescent="0.2">
      <c r="A13" s="25" t="s">
        <v>21</v>
      </c>
      <c r="B13" s="26"/>
      <c r="C13" s="27"/>
      <c r="D13" s="6"/>
      <c r="E13" s="6"/>
      <c r="F13" s="6"/>
      <c r="G13" s="6"/>
      <c r="H13" s="6"/>
      <c r="I13" s="6"/>
      <c r="J13" s="6"/>
      <c r="K13" s="6"/>
      <c r="L13" s="6">
        <v>339</v>
      </c>
      <c r="M13" s="65">
        <v>368.53</v>
      </c>
      <c r="N13" s="6">
        <v>393</v>
      </c>
      <c r="O13" s="6">
        <v>480</v>
      </c>
      <c r="P13" s="6">
        <v>344</v>
      </c>
      <c r="Q13" s="6">
        <v>251</v>
      </c>
      <c r="R13" s="177">
        <v>306</v>
      </c>
      <c r="S13" s="119">
        <v>372</v>
      </c>
      <c r="T13" s="119">
        <v>1150</v>
      </c>
      <c r="U13" s="6">
        <v>436</v>
      </c>
      <c r="V13" s="5">
        <v>612</v>
      </c>
      <c r="W13" s="5">
        <v>253</v>
      </c>
      <c r="X13" s="5">
        <v>455</v>
      </c>
      <c r="Y13" s="5">
        <v>500</v>
      </c>
      <c r="Z13" s="5">
        <v>573</v>
      </c>
      <c r="AA13" s="185">
        <v>550</v>
      </c>
      <c r="AB13" s="185">
        <v>676</v>
      </c>
      <c r="AC13" s="185">
        <v>683</v>
      </c>
      <c r="AD13" s="185">
        <v>345</v>
      </c>
    </row>
    <row r="14" spans="1:30" s="23" customFormat="1" ht="20.100000000000001" customHeight="1" x14ac:dyDescent="0.2">
      <c r="A14" s="25" t="s">
        <v>22</v>
      </c>
      <c r="B14" s="26"/>
      <c r="C14" s="2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19"/>
      <c r="S14" s="119"/>
      <c r="T14" s="119"/>
      <c r="U14" s="6"/>
      <c r="V14" s="5"/>
      <c r="W14" s="5"/>
      <c r="X14" s="5"/>
      <c r="Y14" s="5"/>
      <c r="Z14" s="5"/>
      <c r="AA14" s="238"/>
      <c r="AB14" s="238"/>
      <c r="AC14" s="238"/>
      <c r="AD14" s="238"/>
    </row>
    <row r="15" spans="1:30" s="23" customFormat="1" ht="20.100000000000001" customHeight="1" x14ac:dyDescent="0.2">
      <c r="A15" s="25" t="s">
        <v>23</v>
      </c>
      <c r="B15" s="26"/>
      <c r="C15" s="2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19"/>
      <c r="S15" s="119"/>
      <c r="T15" s="119"/>
      <c r="U15" s="6"/>
      <c r="V15" s="5"/>
      <c r="W15" s="5"/>
      <c r="X15" s="5"/>
      <c r="Y15" s="5"/>
      <c r="Z15" s="5"/>
      <c r="AA15" s="185"/>
      <c r="AB15" s="239"/>
      <c r="AC15" s="239"/>
      <c r="AD15" s="239"/>
    </row>
    <row r="16" spans="1:30" s="31" customFormat="1" ht="20.100000000000001" customHeight="1" x14ac:dyDescent="0.2">
      <c r="A16" s="76" t="s">
        <v>24</v>
      </c>
      <c r="B16" s="77"/>
      <c r="C16" s="78"/>
      <c r="D16" s="79">
        <f>SUM(D5:D15)-D7</f>
        <v>6077</v>
      </c>
      <c r="E16" s="79">
        <f t="shared" ref="E16:K16" si="2">SUM(E5:E15)-E7</f>
        <v>6409</v>
      </c>
      <c r="F16" s="79">
        <f t="shared" si="2"/>
        <v>6413</v>
      </c>
      <c r="G16" s="79">
        <f t="shared" si="2"/>
        <v>6467</v>
      </c>
      <c r="H16" s="79">
        <f t="shared" si="2"/>
        <v>6401</v>
      </c>
      <c r="I16" s="79">
        <f t="shared" si="2"/>
        <v>6130</v>
      </c>
      <c r="J16" s="79">
        <f t="shared" si="2"/>
        <v>5860</v>
      </c>
      <c r="K16" s="79">
        <f t="shared" si="2"/>
        <v>6583</v>
      </c>
      <c r="L16" s="79">
        <f>+L13+L12+L11+L10+L9+L8+L7</f>
        <v>7237.39</v>
      </c>
      <c r="M16" s="79">
        <f>+M13+M11+M10+M9+M8+M7</f>
        <v>7527.08</v>
      </c>
      <c r="N16" s="79">
        <f>+N12+N10+N9+N8+N7+N13</f>
        <v>7762</v>
      </c>
      <c r="O16" s="79">
        <f>+O12+O10+O9+O8+O7+O13</f>
        <v>7956.2699999999995</v>
      </c>
      <c r="P16" s="79">
        <f t="shared" ref="P16:AA16" si="3">SUM(P7:P15)</f>
        <v>7318.3</v>
      </c>
      <c r="Q16" s="79">
        <f t="shared" si="3"/>
        <v>7052</v>
      </c>
      <c r="R16" s="79">
        <f t="shared" si="3"/>
        <v>7347</v>
      </c>
      <c r="S16" s="79">
        <f t="shared" si="3"/>
        <v>6391.5</v>
      </c>
      <c r="T16" s="79">
        <f t="shared" si="3"/>
        <v>6761.99</v>
      </c>
      <c r="U16" s="79">
        <f t="shared" si="3"/>
        <v>6489</v>
      </c>
      <c r="V16" s="79">
        <f t="shared" si="3"/>
        <v>6843</v>
      </c>
      <c r="W16" s="79">
        <f t="shared" si="3"/>
        <v>5427</v>
      </c>
      <c r="X16" s="79">
        <f t="shared" si="3"/>
        <v>5852</v>
      </c>
      <c r="Y16" s="79">
        <f t="shared" si="3"/>
        <v>7090</v>
      </c>
      <c r="Z16" s="79">
        <f>SUM(Z7:Z15)</f>
        <v>7073</v>
      </c>
      <c r="AA16" s="79">
        <f t="shared" si="3"/>
        <v>6317</v>
      </c>
      <c r="AB16" s="79">
        <f>SUM(AB7:AB15)</f>
        <v>5193</v>
      </c>
      <c r="AC16" s="79">
        <f>SUM(AC7:AC15)</f>
        <v>5059</v>
      </c>
      <c r="AD16" s="79">
        <f>SUM(AD7:AD15)</f>
        <v>4523.53</v>
      </c>
    </row>
    <row r="17" spans="1:30" s="23" customFormat="1" ht="20.100000000000001" customHeight="1" x14ac:dyDescent="0.2">
      <c r="A17" s="25" t="s">
        <v>25</v>
      </c>
      <c r="B17" s="26"/>
      <c r="C17" s="27"/>
      <c r="D17" s="6"/>
      <c r="E17" s="6">
        <v>20</v>
      </c>
      <c r="F17" s="6">
        <v>15</v>
      </c>
      <c r="G17" s="6">
        <v>5</v>
      </c>
      <c r="H17" s="6"/>
      <c r="I17" s="6"/>
      <c r="J17" s="6"/>
      <c r="K17" s="6">
        <v>4</v>
      </c>
      <c r="L17" s="6"/>
      <c r="M17" s="6"/>
      <c r="N17" s="6"/>
      <c r="O17" s="6"/>
      <c r="P17" s="6"/>
      <c r="Q17" s="6"/>
      <c r="R17" s="119"/>
      <c r="S17" s="119"/>
      <c r="T17" s="119"/>
      <c r="U17" s="6"/>
      <c r="V17" s="5"/>
      <c r="W17" s="5"/>
      <c r="X17" s="5"/>
      <c r="Y17" s="5"/>
      <c r="Z17" s="5"/>
      <c r="AA17" s="238"/>
      <c r="AB17" s="238"/>
      <c r="AC17" s="238"/>
      <c r="AD17" s="238"/>
    </row>
    <row r="18" spans="1:30" s="24" customFormat="1" ht="20.100000000000001" customHeight="1" x14ac:dyDescent="0.2">
      <c r="A18" s="120" t="s">
        <v>26</v>
      </c>
      <c r="B18" s="255"/>
      <c r="C18" s="254"/>
      <c r="D18" s="6"/>
      <c r="E18" s="6"/>
      <c r="F18" s="6"/>
      <c r="G18" s="6"/>
      <c r="H18" s="6"/>
      <c r="I18" s="6"/>
      <c r="J18" s="6"/>
      <c r="K18" s="119"/>
      <c r="L18" s="119">
        <v>3</v>
      </c>
      <c r="M18" s="119">
        <v>22</v>
      </c>
      <c r="N18" s="119">
        <v>25</v>
      </c>
      <c r="O18" s="119">
        <v>13.26</v>
      </c>
      <c r="P18" s="119">
        <f>957/100</f>
        <v>9.57</v>
      </c>
      <c r="Q18" s="119"/>
      <c r="R18" s="119"/>
      <c r="S18" s="119">
        <v>2</v>
      </c>
      <c r="T18" s="119">
        <v>2</v>
      </c>
      <c r="U18" s="119">
        <v>8</v>
      </c>
      <c r="V18" s="5">
        <v>9</v>
      </c>
      <c r="W18" s="5"/>
      <c r="X18" s="5"/>
      <c r="Y18" s="5"/>
      <c r="Z18" s="5"/>
      <c r="AA18" s="185">
        <v>12</v>
      </c>
      <c r="AB18" s="185">
        <v>23</v>
      </c>
      <c r="AC18" s="185">
        <v>12</v>
      </c>
      <c r="AD18" s="185">
        <v>10</v>
      </c>
    </row>
    <row r="19" spans="1:30" s="23" customFormat="1" ht="20.100000000000001" customHeight="1" x14ac:dyDescent="0.2">
      <c r="A19" s="25" t="s">
        <v>27</v>
      </c>
      <c r="B19" s="26"/>
      <c r="C19" s="27"/>
      <c r="D19" s="6"/>
      <c r="E19" s="6">
        <v>47</v>
      </c>
      <c r="F19" s="6">
        <v>72</v>
      </c>
      <c r="G19" s="6">
        <v>127</v>
      </c>
      <c r="H19" s="6">
        <v>274</v>
      </c>
      <c r="I19" s="6">
        <v>371</v>
      </c>
      <c r="J19" s="6">
        <v>388</v>
      </c>
      <c r="K19" s="6">
        <v>452</v>
      </c>
      <c r="L19" s="6">
        <v>437</v>
      </c>
      <c r="M19" s="6">
        <v>443</v>
      </c>
      <c r="N19" s="6">
        <v>372</v>
      </c>
      <c r="O19" s="6">
        <f>71+178.39</f>
        <v>249.39</v>
      </c>
      <c r="P19" s="6">
        <v>181</v>
      </c>
      <c r="Q19" s="6">
        <v>265</v>
      </c>
      <c r="R19" s="119">
        <v>202</v>
      </c>
      <c r="S19" s="119">
        <v>185</v>
      </c>
      <c r="T19" s="119">
        <v>104.82</v>
      </c>
      <c r="U19" s="6">
        <v>72</v>
      </c>
      <c r="V19" s="5">
        <v>75</v>
      </c>
      <c r="W19" s="5">
        <v>77</v>
      </c>
      <c r="X19" s="5">
        <v>82</v>
      </c>
      <c r="Y19" s="5">
        <v>79</v>
      </c>
      <c r="Z19" s="5">
        <v>67</v>
      </c>
      <c r="AA19" s="238">
        <v>69</v>
      </c>
      <c r="AB19" s="238">
        <v>62</v>
      </c>
      <c r="AC19" s="238">
        <v>69</v>
      </c>
      <c r="AD19" s="238">
        <v>25</v>
      </c>
    </row>
    <row r="20" spans="1:30" s="23" customFormat="1" ht="20.100000000000001" customHeight="1" x14ac:dyDescent="0.2">
      <c r="A20" s="25" t="s">
        <v>28</v>
      </c>
      <c r="B20" s="26"/>
      <c r="C20" s="27"/>
      <c r="D20" s="6">
        <v>87</v>
      </c>
      <c r="E20" s="6">
        <v>195</v>
      </c>
      <c r="F20" s="6">
        <v>326</v>
      </c>
      <c r="G20" s="6">
        <v>416</v>
      </c>
      <c r="H20" s="6">
        <v>536</v>
      </c>
      <c r="I20" s="6">
        <v>210</v>
      </c>
      <c r="J20" s="6">
        <v>171</v>
      </c>
      <c r="K20" s="6">
        <v>177</v>
      </c>
      <c r="L20" s="6">
        <v>219</v>
      </c>
      <c r="M20" s="6">
        <v>203</v>
      </c>
      <c r="N20" s="6">
        <v>127</v>
      </c>
      <c r="O20" s="6">
        <v>115</v>
      </c>
      <c r="P20" s="6">
        <f>13473/100</f>
        <v>134.72999999999999</v>
      </c>
      <c r="Q20" s="6">
        <v>29</v>
      </c>
      <c r="R20" s="119">
        <v>34</v>
      </c>
      <c r="S20" s="119">
        <v>24</v>
      </c>
      <c r="T20" s="119">
        <v>15</v>
      </c>
      <c r="U20" s="6">
        <v>7</v>
      </c>
      <c r="V20" s="5">
        <v>11</v>
      </c>
      <c r="W20" s="5">
        <v>37</v>
      </c>
      <c r="X20" s="5">
        <v>32</v>
      </c>
      <c r="Y20" s="5">
        <v>25</v>
      </c>
      <c r="Z20" s="5"/>
      <c r="AA20" s="239">
        <v>49</v>
      </c>
      <c r="AB20" s="239">
        <v>34</v>
      </c>
      <c r="AC20" s="239">
        <v>16</v>
      </c>
      <c r="AD20" s="239"/>
    </row>
    <row r="21" spans="1:30" s="23" customFormat="1" ht="20.100000000000001" customHeight="1" x14ac:dyDescent="0.2">
      <c r="A21" s="25" t="s">
        <v>29</v>
      </c>
      <c r="B21" s="26"/>
      <c r="C21" s="27"/>
      <c r="D21" s="6"/>
      <c r="E21" s="6">
        <v>19</v>
      </c>
      <c r="F21" s="6">
        <v>117</v>
      </c>
      <c r="G21" s="6">
        <v>131</v>
      </c>
      <c r="H21" s="6">
        <v>67</v>
      </c>
      <c r="I21" s="6">
        <v>50</v>
      </c>
      <c r="J21" s="6">
        <v>36</v>
      </c>
      <c r="K21" s="6">
        <v>39</v>
      </c>
      <c r="L21" s="6">
        <v>44</v>
      </c>
      <c r="M21" s="6">
        <v>58</v>
      </c>
      <c r="N21" s="6">
        <v>48</v>
      </c>
      <c r="O21" s="6">
        <v>25</v>
      </c>
      <c r="P21" s="6">
        <v>35</v>
      </c>
      <c r="Q21" s="6"/>
      <c r="R21" s="119">
        <v>11</v>
      </c>
      <c r="S21" s="119">
        <v>34</v>
      </c>
      <c r="T21" s="119">
        <v>15</v>
      </c>
      <c r="U21" s="6"/>
      <c r="V21" s="5">
        <v>17</v>
      </c>
      <c r="W21" s="5">
        <v>17</v>
      </c>
      <c r="X21" s="5">
        <v>11</v>
      </c>
      <c r="Y21" s="5"/>
      <c r="Z21" s="5"/>
      <c r="AA21" s="185">
        <v>21</v>
      </c>
      <c r="AB21" s="185">
        <v>32</v>
      </c>
      <c r="AC21" s="185"/>
      <c r="AD21" s="185">
        <v>41</v>
      </c>
    </row>
    <row r="22" spans="1:30" s="23" customFormat="1" ht="20.100000000000001" customHeight="1" x14ac:dyDescent="0.2">
      <c r="A22" s="120" t="s">
        <v>30</v>
      </c>
      <c r="B22" s="26"/>
      <c r="C22" s="27"/>
      <c r="D22" s="6"/>
      <c r="E22" s="6"/>
      <c r="F22" s="6"/>
      <c r="G22" s="6">
        <v>11</v>
      </c>
      <c r="H22" s="6">
        <v>3</v>
      </c>
      <c r="I22" s="6">
        <v>4</v>
      </c>
      <c r="J22" s="6"/>
      <c r="K22" s="6">
        <v>9</v>
      </c>
      <c r="L22" s="6">
        <v>8</v>
      </c>
      <c r="M22" s="6">
        <v>14</v>
      </c>
      <c r="N22" s="6">
        <v>9</v>
      </c>
      <c r="O22" s="6"/>
      <c r="P22" s="6"/>
      <c r="Q22" s="6"/>
      <c r="R22" s="119"/>
      <c r="S22" s="119"/>
      <c r="T22" s="119"/>
      <c r="U22" s="6"/>
      <c r="V22" s="5"/>
      <c r="W22" s="5"/>
      <c r="X22" s="5"/>
      <c r="Y22" s="5"/>
      <c r="Z22" s="5"/>
      <c r="AA22" s="238"/>
      <c r="AB22" s="238"/>
      <c r="AC22" s="238"/>
      <c r="AD22" s="238">
        <v>2</v>
      </c>
    </row>
    <row r="23" spans="1:30" s="23" customFormat="1" ht="20.100000000000001" customHeight="1" x14ac:dyDescent="0.2">
      <c r="A23" s="120" t="s">
        <v>31</v>
      </c>
      <c r="B23" s="26"/>
      <c r="C23" s="27"/>
      <c r="D23" s="6"/>
      <c r="E23" s="6"/>
      <c r="F23" s="6" t="s">
        <v>32</v>
      </c>
      <c r="G23" s="6">
        <v>13</v>
      </c>
      <c r="H23" s="6">
        <v>21</v>
      </c>
      <c r="I23" s="6">
        <v>72</v>
      </c>
      <c r="J23" s="6">
        <v>103</v>
      </c>
      <c r="K23" s="6">
        <v>73</v>
      </c>
      <c r="L23" s="6">
        <v>29</v>
      </c>
      <c r="M23" s="6">
        <v>33</v>
      </c>
      <c r="N23" s="6">
        <v>58</v>
      </c>
      <c r="O23" s="6">
        <f>(4190+42)/100</f>
        <v>42.32</v>
      </c>
      <c r="P23" s="6">
        <v>33</v>
      </c>
      <c r="Q23" s="6">
        <v>6</v>
      </c>
      <c r="R23" s="119">
        <v>11</v>
      </c>
      <c r="S23" s="119">
        <v>19</v>
      </c>
      <c r="T23" s="119">
        <v>8</v>
      </c>
      <c r="U23" s="6">
        <v>14</v>
      </c>
      <c r="V23" s="5">
        <v>29</v>
      </c>
      <c r="W23" s="5">
        <v>27</v>
      </c>
      <c r="X23" s="5">
        <v>21</v>
      </c>
      <c r="Y23" s="5">
        <v>20</v>
      </c>
      <c r="Z23" s="5">
        <v>13</v>
      </c>
      <c r="AA23" s="239">
        <v>17</v>
      </c>
      <c r="AB23" s="239">
        <v>15</v>
      </c>
      <c r="AC23" s="239">
        <v>17</v>
      </c>
      <c r="AD23" s="239">
        <v>14</v>
      </c>
    </row>
    <row r="24" spans="1:30" s="23" customFormat="1" ht="20.100000000000001" customHeight="1" x14ac:dyDescent="0.2">
      <c r="A24" s="25" t="s">
        <v>33</v>
      </c>
      <c r="B24" s="26"/>
      <c r="C24" s="27"/>
      <c r="D24" s="6">
        <v>1160</v>
      </c>
      <c r="E24" s="6">
        <v>1475</v>
      </c>
      <c r="F24" s="6">
        <v>1333</v>
      </c>
      <c r="G24" s="6">
        <v>898</v>
      </c>
      <c r="H24" s="6">
        <v>589</v>
      </c>
      <c r="I24" s="6">
        <v>352</v>
      </c>
      <c r="J24" s="6">
        <v>653</v>
      </c>
      <c r="K24" s="6">
        <v>1026</v>
      </c>
      <c r="L24" s="119">
        <v>1095</v>
      </c>
      <c r="M24" s="119">
        <v>811</v>
      </c>
      <c r="N24" s="6">
        <v>694</v>
      </c>
      <c r="O24" s="6">
        <v>573</v>
      </c>
      <c r="P24" s="6">
        <v>663</v>
      </c>
      <c r="Q24" s="6">
        <v>555</v>
      </c>
      <c r="R24" s="119">
        <v>472</v>
      </c>
      <c r="S24" s="119">
        <v>549.70000000000005</v>
      </c>
      <c r="T24" s="119">
        <v>453.11</v>
      </c>
      <c r="U24" s="6">
        <v>378</v>
      </c>
      <c r="V24" s="5">
        <v>404</v>
      </c>
      <c r="W24" s="5">
        <v>358</v>
      </c>
      <c r="X24" s="5">
        <v>358</v>
      </c>
      <c r="Y24" s="5">
        <v>410</v>
      </c>
      <c r="Z24" s="5">
        <v>455</v>
      </c>
      <c r="AA24" s="185">
        <v>517</v>
      </c>
      <c r="AB24" s="185">
        <v>532</v>
      </c>
      <c r="AC24" s="185">
        <v>407</v>
      </c>
      <c r="AD24" s="185">
        <v>378</v>
      </c>
    </row>
    <row r="25" spans="1:30" s="23" customFormat="1" ht="20.100000000000001" customHeight="1" x14ac:dyDescent="0.2">
      <c r="A25" s="25" t="s">
        <v>34</v>
      </c>
      <c r="B25" s="26"/>
      <c r="C25" s="27"/>
      <c r="D25" s="6">
        <v>2074</v>
      </c>
      <c r="E25" s="6">
        <v>2843</v>
      </c>
      <c r="F25" s="6">
        <v>2389</v>
      </c>
      <c r="G25" s="6">
        <v>1915</v>
      </c>
      <c r="H25" s="6">
        <v>1547</v>
      </c>
      <c r="I25" s="6">
        <v>1433</v>
      </c>
      <c r="J25" s="6">
        <v>1974</v>
      </c>
      <c r="K25" s="6">
        <v>2091</v>
      </c>
      <c r="L25" s="6">
        <v>2166</v>
      </c>
      <c r="M25" s="6">
        <v>1907</v>
      </c>
      <c r="N25" s="6">
        <v>1808</v>
      </c>
      <c r="O25" s="6">
        <v>1468</v>
      </c>
      <c r="P25" s="6">
        <v>2428</v>
      </c>
      <c r="Q25" s="6">
        <v>1755</v>
      </c>
      <c r="R25" s="119">
        <v>1854</v>
      </c>
      <c r="S25" s="119">
        <v>2277</v>
      </c>
      <c r="T25" s="119">
        <v>1952.61</v>
      </c>
      <c r="U25" s="6">
        <v>1853</v>
      </c>
      <c r="V25" s="6">
        <v>1856</v>
      </c>
      <c r="W25" s="6">
        <v>1796</v>
      </c>
      <c r="X25" s="6">
        <v>2064</v>
      </c>
      <c r="Y25" s="6">
        <v>2445</v>
      </c>
      <c r="Z25" s="6">
        <v>2656</v>
      </c>
      <c r="AA25" s="185">
        <v>3102</v>
      </c>
      <c r="AB25" s="185">
        <v>3729</v>
      </c>
      <c r="AC25" s="185">
        <v>2870</v>
      </c>
      <c r="AD25" s="185">
        <v>1726</v>
      </c>
    </row>
    <row r="26" spans="1:30" s="23" customFormat="1" ht="20.100000000000001" customHeight="1" x14ac:dyDescent="0.2">
      <c r="A26" s="25" t="s">
        <v>35</v>
      </c>
      <c r="B26" s="26"/>
      <c r="C26" s="27"/>
      <c r="D26" s="6">
        <v>106</v>
      </c>
      <c r="E26" s="6">
        <v>177</v>
      </c>
      <c r="F26" s="6"/>
      <c r="G26" s="6">
        <v>95</v>
      </c>
      <c r="H26" s="6">
        <v>37</v>
      </c>
      <c r="I26" s="6">
        <v>29</v>
      </c>
      <c r="J26" s="6">
        <v>19</v>
      </c>
      <c r="K26" s="6">
        <v>29</v>
      </c>
      <c r="L26" s="6">
        <v>41</v>
      </c>
      <c r="M26" s="6">
        <v>37</v>
      </c>
      <c r="N26" s="6">
        <v>40</v>
      </c>
      <c r="O26" s="6">
        <v>19</v>
      </c>
      <c r="P26" s="6">
        <v>38</v>
      </c>
      <c r="Q26" s="6">
        <v>48</v>
      </c>
      <c r="R26" s="119">
        <v>59</v>
      </c>
      <c r="S26" s="119">
        <v>64</v>
      </c>
      <c r="T26" s="119">
        <v>61.65</v>
      </c>
      <c r="U26" s="6">
        <v>45</v>
      </c>
      <c r="V26" s="5">
        <v>43</v>
      </c>
      <c r="W26" s="5"/>
      <c r="X26" s="5">
        <v>170</v>
      </c>
      <c r="Y26" s="5">
        <v>130</v>
      </c>
      <c r="Z26" s="5">
        <v>196</v>
      </c>
      <c r="AA26" s="185">
        <v>117</v>
      </c>
      <c r="AB26" s="185">
        <v>163</v>
      </c>
      <c r="AC26" s="185">
        <v>178</v>
      </c>
      <c r="AD26" s="185">
        <v>13</v>
      </c>
    </row>
    <row r="27" spans="1:30" s="31" customFormat="1" ht="20.100000000000001" customHeight="1" x14ac:dyDescent="0.2">
      <c r="A27" s="76" t="s">
        <v>36</v>
      </c>
      <c r="B27" s="77"/>
      <c r="C27" s="78"/>
      <c r="D27" s="79">
        <f>SUM(D17:D26)</f>
        <v>3427</v>
      </c>
      <c r="E27" s="79">
        <f t="shared" ref="E27:P27" si="4">SUM(E17:E26)</f>
        <v>4776</v>
      </c>
      <c r="F27" s="79">
        <f t="shared" si="4"/>
        <v>4252</v>
      </c>
      <c r="G27" s="79">
        <f t="shared" si="4"/>
        <v>3611</v>
      </c>
      <c r="H27" s="79">
        <f t="shared" si="4"/>
        <v>3074</v>
      </c>
      <c r="I27" s="79">
        <f t="shared" si="4"/>
        <v>2521</v>
      </c>
      <c r="J27" s="79">
        <f t="shared" si="4"/>
        <v>3344</v>
      </c>
      <c r="K27" s="79">
        <f t="shared" si="4"/>
        <v>3900</v>
      </c>
      <c r="L27" s="79">
        <f t="shared" si="4"/>
        <v>4042</v>
      </c>
      <c r="M27" s="79">
        <f t="shared" si="4"/>
        <v>3528</v>
      </c>
      <c r="N27" s="79">
        <f t="shared" si="4"/>
        <v>3181</v>
      </c>
      <c r="O27" s="79">
        <f t="shared" si="4"/>
        <v>2504.9700000000003</v>
      </c>
      <c r="P27" s="79">
        <f t="shared" si="4"/>
        <v>3522.3</v>
      </c>
      <c r="Q27" s="79">
        <f t="shared" ref="Q27:Z27" si="5">SUM(Q17:Q26)</f>
        <v>2658</v>
      </c>
      <c r="R27" s="79">
        <f t="shared" si="5"/>
        <v>2643</v>
      </c>
      <c r="S27" s="79">
        <f t="shared" si="5"/>
        <v>3154.7</v>
      </c>
      <c r="T27" s="79">
        <f t="shared" si="5"/>
        <v>2612.19</v>
      </c>
      <c r="U27" s="79">
        <f t="shared" si="5"/>
        <v>2377</v>
      </c>
      <c r="V27" s="79">
        <f t="shared" si="5"/>
        <v>2444</v>
      </c>
      <c r="W27" s="79">
        <f t="shared" si="5"/>
        <v>2312</v>
      </c>
      <c r="X27" s="79">
        <f t="shared" si="5"/>
        <v>2738</v>
      </c>
      <c r="Y27" s="79">
        <f t="shared" si="5"/>
        <v>3109</v>
      </c>
      <c r="Z27" s="79">
        <f t="shared" si="5"/>
        <v>3387</v>
      </c>
      <c r="AA27" s="79">
        <f>SUM(AA17:AA26)</f>
        <v>3904</v>
      </c>
      <c r="AB27" s="79">
        <f t="shared" ref="AB27:AC27" si="6">SUM(AB17:AB26)</f>
        <v>4590</v>
      </c>
      <c r="AC27" s="79">
        <f t="shared" si="6"/>
        <v>3569</v>
      </c>
      <c r="AD27" s="79">
        <f t="shared" ref="AD27" si="7">SUM(AD17:AD26)</f>
        <v>2209</v>
      </c>
    </row>
    <row r="28" spans="1:30" s="23" customFormat="1" ht="20.100000000000001" customHeight="1" x14ac:dyDescent="0.2">
      <c r="A28" s="25" t="s">
        <v>37</v>
      </c>
      <c r="B28" s="26"/>
      <c r="C28" s="27"/>
      <c r="D28" s="6"/>
      <c r="E28" s="6"/>
      <c r="F28" s="6"/>
      <c r="G28" s="6">
        <v>57</v>
      </c>
      <c r="H28" s="6">
        <v>8</v>
      </c>
      <c r="I28" s="6">
        <v>5</v>
      </c>
      <c r="J28" s="6">
        <v>7</v>
      </c>
      <c r="K28" s="6">
        <v>14</v>
      </c>
      <c r="L28" s="6">
        <v>30</v>
      </c>
      <c r="M28" s="6">
        <v>21</v>
      </c>
      <c r="N28" s="6">
        <v>22</v>
      </c>
      <c r="O28" s="6">
        <v>17</v>
      </c>
      <c r="P28" s="6">
        <f>288/100</f>
        <v>2.88</v>
      </c>
      <c r="Q28" s="6">
        <v>5</v>
      </c>
      <c r="R28" s="119">
        <v>7</v>
      </c>
      <c r="S28" s="119">
        <v>11</v>
      </c>
      <c r="T28" s="119">
        <v>18</v>
      </c>
      <c r="U28" s="6">
        <v>12</v>
      </c>
      <c r="V28" s="5">
        <v>3</v>
      </c>
      <c r="W28" s="5"/>
      <c r="X28" s="5"/>
      <c r="Y28" s="5"/>
      <c r="Z28" s="5"/>
      <c r="AA28" s="5"/>
      <c r="AB28" s="5"/>
      <c r="AC28" s="5">
        <v>13</v>
      </c>
      <c r="AD28" s="5">
        <v>3</v>
      </c>
    </row>
    <row r="29" spans="1:30" s="24" customFormat="1" ht="20.100000000000001" customHeight="1" x14ac:dyDescent="0.2">
      <c r="A29" s="120" t="s">
        <v>38</v>
      </c>
      <c r="B29" s="255"/>
      <c r="C29" s="254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5"/>
      <c r="W29" s="5"/>
      <c r="X29" s="5"/>
      <c r="Y29" s="5"/>
      <c r="Z29" s="5"/>
      <c r="AA29" s="5"/>
      <c r="AB29" s="5"/>
      <c r="AC29" s="5"/>
      <c r="AD29" s="5"/>
    </row>
    <row r="30" spans="1:30" s="23" customFormat="1" ht="20.100000000000001" customHeight="1" x14ac:dyDescent="0.2">
      <c r="A30" s="25" t="s">
        <v>39</v>
      </c>
      <c r="B30" s="26"/>
      <c r="C30" s="27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119"/>
      <c r="S30" s="119"/>
      <c r="T30" s="119"/>
      <c r="U30" s="6"/>
      <c r="V30" s="5"/>
      <c r="W30" s="5"/>
      <c r="X30" s="5"/>
      <c r="Y30" s="5"/>
      <c r="Z30" s="5"/>
      <c r="AA30" s="5"/>
      <c r="AB30" s="5"/>
      <c r="AC30" s="5"/>
      <c r="AD30" s="5">
        <v>4</v>
      </c>
    </row>
    <row r="31" spans="1:30" s="23" customFormat="1" ht="20.100000000000001" customHeight="1" x14ac:dyDescent="0.2">
      <c r="A31" s="32" t="s">
        <v>40</v>
      </c>
      <c r="B31" s="33"/>
      <c r="C31" s="34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119"/>
      <c r="S31" s="119"/>
      <c r="T31" s="119"/>
      <c r="U31" s="6"/>
      <c r="V31" s="5"/>
      <c r="W31" s="5"/>
      <c r="X31" s="5"/>
      <c r="Y31" s="5"/>
      <c r="Z31" s="5"/>
      <c r="AA31" s="5"/>
      <c r="AB31" s="5"/>
      <c r="AC31" s="5"/>
      <c r="AD31" s="5"/>
    </row>
    <row r="32" spans="1:30" s="23" customFormat="1" ht="20.100000000000001" customHeight="1" x14ac:dyDescent="0.2">
      <c r="A32" s="25" t="s">
        <v>41</v>
      </c>
      <c r="B32" s="26"/>
      <c r="C32" s="27"/>
      <c r="D32" s="6"/>
      <c r="E32" s="6"/>
      <c r="F32" s="6"/>
      <c r="G32" s="6"/>
      <c r="H32" s="6"/>
      <c r="I32" s="6"/>
      <c r="J32" s="6"/>
      <c r="K32" s="6"/>
      <c r="L32" s="6"/>
      <c r="M32" s="6">
        <v>5</v>
      </c>
      <c r="N32" s="6"/>
      <c r="O32" s="6"/>
      <c r="P32" s="6"/>
      <c r="Q32" s="6"/>
      <c r="R32" s="119">
        <v>7</v>
      </c>
      <c r="S32" s="119"/>
      <c r="T32" s="119"/>
      <c r="U32" s="6"/>
      <c r="V32" s="5"/>
      <c r="W32" s="5"/>
      <c r="X32" s="5"/>
      <c r="Y32" s="5"/>
      <c r="Z32" s="5"/>
      <c r="AA32" s="5"/>
      <c r="AB32" s="5"/>
      <c r="AC32" s="5"/>
      <c r="AD32" s="5">
        <v>11.11</v>
      </c>
    </row>
    <row r="33" spans="1:255" s="23" customFormat="1" ht="20.100000000000001" customHeight="1" x14ac:dyDescent="0.2">
      <c r="A33" s="32" t="s">
        <v>42</v>
      </c>
      <c r="B33" s="26"/>
      <c r="C33" s="27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119"/>
      <c r="S33" s="119"/>
      <c r="T33" s="119"/>
      <c r="U33" s="6"/>
      <c r="V33" s="5"/>
      <c r="W33" s="5"/>
      <c r="X33" s="5"/>
      <c r="Y33" s="5"/>
      <c r="Z33" s="5"/>
      <c r="AA33" s="5"/>
      <c r="AB33" s="5"/>
      <c r="AC33" s="5"/>
      <c r="AD33" s="5"/>
    </row>
    <row r="34" spans="1:255" s="23" customFormat="1" ht="20.100000000000001" customHeight="1" x14ac:dyDescent="0.2">
      <c r="A34" s="25" t="s">
        <v>43</v>
      </c>
      <c r="B34" s="26"/>
      <c r="C34" s="27"/>
      <c r="D34" s="6"/>
      <c r="E34" s="6">
        <v>149</v>
      </c>
      <c r="F34" s="6">
        <v>66</v>
      </c>
      <c r="G34" s="6">
        <v>135</v>
      </c>
      <c r="H34" s="6">
        <v>116</v>
      </c>
      <c r="I34" s="6">
        <v>75</v>
      </c>
      <c r="J34" s="6">
        <v>85</v>
      </c>
      <c r="K34" s="6">
        <v>71</v>
      </c>
      <c r="L34" s="6">
        <v>44</v>
      </c>
      <c r="M34" s="6">
        <f>13+14.77</f>
        <v>27.77</v>
      </c>
      <c r="N34" s="6">
        <v>27</v>
      </c>
      <c r="O34" s="6">
        <v>1</v>
      </c>
      <c r="P34" s="6">
        <v>11</v>
      </c>
      <c r="Q34" s="6">
        <v>19</v>
      </c>
      <c r="R34" s="119">
        <v>3</v>
      </c>
      <c r="S34" s="119">
        <v>2</v>
      </c>
      <c r="T34" s="119">
        <v>5.2</v>
      </c>
      <c r="U34" s="6">
        <v>7</v>
      </c>
      <c r="V34" s="5">
        <v>16</v>
      </c>
      <c r="W34" s="5">
        <v>16</v>
      </c>
      <c r="X34" s="5"/>
      <c r="Y34" s="5"/>
      <c r="Z34" s="5"/>
      <c r="AA34" s="5"/>
      <c r="AB34" s="5"/>
      <c r="AC34" s="5"/>
      <c r="AD34" s="5">
        <v>6</v>
      </c>
    </row>
    <row r="35" spans="1:255" s="23" customFormat="1" ht="20.100000000000001" customHeight="1" x14ac:dyDescent="0.2">
      <c r="A35" s="25" t="s">
        <v>44</v>
      </c>
      <c r="B35" s="26"/>
      <c r="C35" s="27"/>
      <c r="D35" s="6"/>
      <c r="E35" s="6"/>
      <c r="F35" s="6"/>
      <c r="G35" s="6"/>
      <c r="H35" s="6"/>
      <c r="I35" s="6"/>
      <c r="J35" s="6"/>
      <c r="K35" s="6">
        <v>9</v>
      </c>
      <c r="L35" s="6"/>
      <c r="M35" s="6"/>
      <c r="N35" s="6"/>
      <c r="O35" s="6"/>
      <c r="P35" s="6"/>
      <c r="Q35" s="6"/>
      <c r="R35" s="119"/>
      <c r="S35" s="119"/>
      <c r="T35" s="119">
        <v>6</v>
      </c>
      <c r="U35" s="6"/>
      <c r="V35" s="5"/>
      <c r="W35" s="5"/>
      <c r="X35" s="5"/>
      <c r="Y35" s="5"/>
      <c r="Z35" s="5"/>
      <c r="AA35" s="5"/>
      <c r="AB35" s="5"/>
      <c r="AC35" s="5"/>
      <c r="AD35" s="5"/>
    </row>
    <row r="36" spans="1:255" s="31" customFormat="1" ht="20.100000000000001" customHeight="1" x14ac:dyDescent="0.2">
      <c r="A36" s="76" t="s">
        <v>45</v>
      </c>
      <c r="B36" s="77"/>
      <c r="C36" s="78"/>
      <c r="D36" s="79"/>
      <c r="E36" s="79">
        <v>149</v>
      </c>
      <c r="F36" s="79">
        <v>66</v>
      </c>
      <c r="G36" s="79">
        <v>192</v>
      </c>
      <c r="H36" s="79">
        <v>124</v>
      </c>
      <c r="I36" s="79">
        <v>80</v>
      </c>
      <c r="J36" s="79">
        <v>92</v>
      </c>
      <c r="K36" s="79">
        <f t="shared" ref="K36:P36" si="8">SUM(K28:K35)</f>
        <v>94</v>
      </c>
      <c r="L36" s="79">
        <f t="shared" si="8"/>
        <v>74</v>
      </c>
      <c r="M36" s="79">
        <f t="shared" si="8"/>
        <v>53.769999999999996</v>
      </c>
      <c r="N36" s="79">
        <f t="shared" si="8"/>
        <v>49</v>
      </c>
      <c r="O36" s="79">
        <f t="shared" si="8"/>
        <v>18</v>
      </c>
      <c r="P36" s="79">
        <f t="shared" si="8"/>
        <v>13.879999999999999</v>
      </c>
      <c r="Q36" s="79">
        <f t="shared" ref="Q36:Z36" si="9">SUM(Q28:Q35)</f>
        <v>24</v>
      </c>
      <c r="R36" s="79">
        <f t="shared" si="9"/>
        <v>17</v>
      </c>
      <c r="S36" s="79">
        <f t="shared" si="9"/>
        <v>13</v>
      </c>
      <c r="T36" s="79">
        <f t="shared" si="9"/>
        <v>29.2</v>
      </c>
      <c r="U36" s="79">
        <f t="shared" si="9"/>
        <v>19</v>
      </c>
      <c r="V36" s="79">
        <f t="shared" si="9"/>
        <v>19</v>
      </c>
      <c r="W36" s="79">
        <f t="shared" si="9"/>
        <v>16</v>
      </c>
      <c r="X36" s="79">
        <f t="shared" si="9"/>
        <v>0</v>
      </c>
      <c r="Y36" s="79">
        <f t="shared" si="9"/>
        <v>0</v>
      </c>
      <c r="Z36" s="79">
        <f t="shared" si="9"/>
        <v>0</v>
      </c>
      <c r="AA36" s="79">
        <f>SUM(AA28:AA35)</f>
        <v>0</v>
      </c>
      <c r="AB36" s="79">
        <f t="shared" ref="AB36:AC36" si="10">SUM(AB28:AB35)</f>
        <v>0</v>
      </c>
      <c r="AC36" s="79">
        <f t="shared" si="10"/>
        <v>13</v>
      </c>
      <c r="AD36" s="79">
        <f t="shared" ref="AD36" si="11">SUM(AD28:AD35)</f>
        <v>24.11</v>
      </c>
    </row>
    <row r="37" spans="1:255" s="23" customFormat="1" ht="20.100000000000001" customHeight="1" x14ac:dyDescent="0.2">
      <c r="A37" s="25" t="s">
        <v>46</v>
      </c>
      <c r="B37" s="26"/>
      <c r="C37" s="27"/>
      <c r="D37" s="6">
        <v>7222</v>
      </c>
      <c r="E37" s="6">
        <v>7241</v>
      </c>
      <c r="F37" s="6">
        <v>8014</v>
      </c>
      <c r="G37" s="6">
        <v>7487</v>
      </c>
      <c r="H37" s="6">
        <v>4998</v>
      </c>
      <c r="I37" s="6">
        <v>6744</v>
      </c>
      <c r="J37" s="6">
        <v>7149</v>
      </c>
      <c r="K37" s="6">
        <v>6053</v>
      </c>
      <c r="L37" s="6">
        <v>4938</v>
      </c>
      <c r="M37" s="6">
        <v>4771</v>
      </c>
      <c r="N37" s="6">
        <v>3943</v>
      </c>
      <c r="O37" s="6">
        <f>(2669.06)+142238/100</f>
        <v>4091.44</v>
      </c>
      <c r="P37" s="6">
        <v>3638</v>
      </c>
      <c r="Q37" s="6">
        <v>2214</v>
      </c>
      <c r="R37" s="119">
        <v>2108</v>
      </c>
      <c r="S37" s="119">
        <v>2408</v>
      </c>
      <c r="T37" s="119">
        <v>748.2</v>
      </c>
      <c r="U37" s="6">
        <v>1836</v>
      </c>
      <c r="V37" s="5"/>
      <c r="W37" s="5"/>
      <c r="X37" s="5"/>
      <c r="Y37" s="5"/>
      <c r="Z37" s="5"/>
      <c r="AA37" s="5"/>
      <c r="AB37" s="5">
        <v>2422</v>
      </c>
      <c r="AC37" s="5">
        <v>2267</v>
      </c>
      <c r="AD37" s="5">
        <v>3680</v>
      </c>
    </row>
    <row r="38" spans="1:255" s="24" customFormat="1" ht="20.100000000000001" customHeight="1" x14ac:dyDescent="0.2">
      <c r="A38" s="120" t="s">
        <v>47</v>
      </c>
      <c r="B38" s="255"/>
      <c r="C38" s="254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5"/>
      <c r="W38" s="5"/>
      <c r="X38" s="5"/>
      <c r="Y38" s="5"/>
      <c r="Z38" s="5"/>
      <c r="AA38" s="5"/>
      <c r="AB38" s="5"/>
      <c r="AC38" s="5"/>
      <c r="AD38" s="5"/>
      <c r="AE38" s="150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AU38" s="150"/>
      <c r="AV38" s="150"/>
      <c r="AW38" s="150"/>
      <c r="AX38" s="150"/>
      <c r="AY38" s="150"/>
      <c r="AZ38" s="150"/>
      <c r="BA38" s="150"/>
      <c r="BB38" s="150"/>
      <c r="BC38" s="150"/>
      <c r="BD38" s="150"/>
      <c r="BE38" s="150"/>
      <c r="BF38" s="150"/>
      <c r="BG38" s="150"/>
      <c r="BH38" s="150"/>
      <c r="BI38" s="150"/>
      <c r="BJ38" s="150"/>
      <c r="BK38" s="150"/>
      <c r="BL38" s="150"/>
      <c r="BM38" s="150"/>
      <c r="BN38" s="150"/>
      <c r="BO38" s="150"/>
      <c r="BP38" s="150"/>
      <c r="BQ38" s="150"/>
      <c r="BR38" s="150"/>
      <c r="BS38" s="150"/>
      <c r="BT38" s="150"/>
      <c r="BU38" s="150"/>
      <c r="BV38" s="150"/>
      <c r="BW38" s="150"/>
      <c r="BX38" s="150"/>
      <c r="BY38" s="150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  <c r="CU38" s="150"/>
      <c r="CV38" s="150"/>
      <c r="CW38" s="150"/>
      <c r="CX38" s="150"/>
      <c r="CY38" s="150"/>
      <c r="CZ38" s="150"/>
      <c r="DA38" s="150"/>
      <c r="DB38" s="150"/>
      <c r="DC38" s="150"/>
      <c r="DD38" s="150"/>
      <c r="DE38" s="150"/>
      <c r="DF38" s="150"/>
      <c r="DG38" s="150"/>
      <c r="DH38" s="150"/>
      <c r="DI38" s="150"/>
      <c r="DJ38" s="150"/>
      <c r="DK38" s="150"/>
      <c r="DL38" s="150"/>
      <c r="DM38" s="150"/>
      <c r="DN38" s="150"/>
      <c r="DO38" s="150"/>
      <c r="DP38" s="150"/>
      <c r="DQ38" s="150"/>
      <c r="DR38" s="150"/>
      <c r="DS38" s="150"/>
      <c r="DT38" s="150"/>
      <c r="DU38" s="150"/>
      <c r="DV38" s="150"/>
      <c r="DW38" s="150"/>
      <c r="DX38" s="150"/>
      <c r="DY38" s="150"/>
      <c r="DZ38" s="150"/>
      <c r="EA38" s="150"/>
      <c r="EB38" s="150"/>
      <c r="EC38" s="150"/>
      <c r="ED38" s="150"/>
      <c r="EE38" s="150"/>
      <c r="EF38" s="150"/>
      <c r="EG38" s="150"/>
      <c r="EH38" s="150"/>
      <c r="EI38" s="150"/>
      <c r="EJ38" s="150"/>
      <c r="EK38" s="150"/>
      <c r="EL38" s="150"/>
      <c r="EM38" s="150"/>
      <c r="EN38" s="150"/>
      <c r="EO38" s="150"/>
      <c r="EP38" s="150"/>
      <c r="EQ38" s="150"/>
      <c r="ER38" s="150"/>
      <c r="ES38" s="150"/>
      <c r="ET38" s="150"/>
      <c r="EU38" s="150"/>
      <c r="EV38" s="150"/>
      <c r="EW38" s="150"/>
      <c r="EX38" s="150"/>
      <c r="EY38" s="150"/>
      <c r="EZ38" s="150"/>
      <c r="FA38" s="150"/>
      <c r="FB38" s="150"/>
      <c r="FC38" s="150"/>
      <c r="FD38" s="150"/>
      <c r="FE38" s="150"/>
      <c r="FF38" s="150"/>
      <c r="FG38" s="15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  <c r="IU38" s="150"/>
    </row>
    <row r="39" spans="1:255" s="24" customFormat="1" ht="20.100000000000001" customHeight="1" x14ac:dyDescent="0.2">
      <c r="A39" s="120" t="s">
        <v>48</v>
      </c>
      <c r="B39" s="255"/>
      <c r="C39" s="254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19"/>
      <c r="P39" s="119"/>
      <c r="Q39" s="119"/>
      <c r="R39" s="119"/>
      <c r="S39" s="119"/>
      <c r="T39" s="119">
        <v>1</v>
      </c>
      <c r="U39" s="119"/>
      <c r="V39" s="5"/>
      <c r="W39" s="5"/>
      <c r="X39" s="5"/>
      <c r="Y39" s="5"/>
      <c r="Z39" s="5"/>
      <c r="AA39" s="5"/>
      <c r="AB39" s="5">
        <v>49</v>
      </c>
      <c r="AC39" s="5">
        <v>56</v>
      </c>
      <c r="AD39" s="5">
        <v>60.72</v>
      </c>
      <c r="AE39" s="150"/>
      <c r="AF39" s="150"/>
      <c r="AG39" s="150"/>
      <c r="AH39" s="150"/>
      <c r="AI39" s="150"/>
      <c r="AJ39" s="150"/>
      <c r="AK39" s="150"/>
      <c r="AL39" s="150"/>
      <c r="AM39" s="150"/>
      <c r="AN39" s="150"/>
      <c r="AO39" s="150"/>
      <c r="AP39" s="150"/>
      <c r="AQ39" s="150"/>
      <c r="AR39" s="150"/>
      <c r="AS39" s="150"/>
      <c r="AT39" s="150"/>
      <c r="AU39" s="150"/>
      <c r="AV39" s="150"/>
      <c r="AW39" s="150"/>
      <c r="AX39" s="150"/>
      <c r="AY39" s="150"/>
      <c r="AZ39" s="150"/>
      <c r="BA39" s="150"/>
      <c r="BB39" s="150"/>
      <c r="BC39" s="150"/>
      <c r="BD39" s="150"/>
      <c r="BE39" s="150"/>
      <c r="BF39" s="150"/>
      <c r="BG39" s="150"/>
      <c r="BH39" s="150"/>
      <c r="BI39" s="150"/>
      <c r="BJ39" s="150"/>
      <c r="BK39" s="150"/>
      <c r="BL39" s="150"/>
      <c r="BM39" s="150"/>
      <c r="BN39" s="150"/>
      <c r="BO39" s="150"/>
      <c r="BP39" s="150"/>
      <c r="BQ39" s="150"/>
      <c r="BR39" s="150"/>
      <c r="BS39" s="150"/>
      <c r="BT39" s="150"/>
      <c r="BU39" s="150"/>
      <c r="BV39" s="150"/>
      <c r="BW39" s="150"/>
      <c r="BX39" s="150"/>
      <c r="BY39" s="150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  <c r="CU39" s="150"/>
      <c r="CV39" s="150"/>
      <c r="CW39" s="150"/>
      <c r="CX39" s="150"/>
      <c r="CY39" s="150"/>
      <c r="CZ39" s="150"/>
      <c r="DA39" s="150"/>
      <c r="DB39" s="150"/>
      <c r="DC39" s="150"/>
      <c r="DD39" s="150"/>
      <c r="DE39" s="150"/>
      <c r="DF39" s="150"/>
      <c r="DG39" s="150"/>
      <c r="DH39" s="150"/>
      <c r="DI39" s="150"/>
      <c r="DJ39" s="150"/>
      <c r="DK39" s="150"/>
      <c r="DL39" s="150"/>
      <c r="DM39" s="150"/>
      <c r="DN39" s="150"/>
      <c r="DO39" s="150"/>
      <c r="DP39" s="150"/>
      <c r="DQ39" s="150"/>
      <c r="DR39" s="150"/>
      <c r="DS39" s="150"/>
      <c r="DT39" s="150"/>
      <c r="DU39" s="150"/>
      <c r="DV39" s="150"/>
      <c r="DW39" s="150"/>
      <c r="DX39" s="150"/>
      <c r="DY39" s="150"/>
      <c r="DZ39" s="150"/>
      <c r="EA39" s="150"/>
      <c r="EB39" s="150"/>
      <c r="EC39" s="150"/>
      <c r="ED39" s="150"/>
      <c r="EE39" s="150"/>
      <c r="EF39" s="150"/>
      <c r="EG39" s="150"/>
      <c r="EH39" s="150"/>
      <c r="EI39" s="150"/>
      <c r="EJ39" s="150"/>
      <c r="EK39" s="150"/>
      <c r="EL39" s="150"/>
      <c r="EM39" s="150"/>
      <c r="EN39" s="150"/>
      <c r="EO39" s="150"/>
      <c r="EP39" s="150"/>
      <c r="EQ39" s="150"/>
      <c r="ER39" s="150"/>
      <c r="ES39" s="150"/>
      <c r="ET39" s="150"/>
      <c r="EU39" s="150"/>
      <c r="EV39" s="150"/>
      <c r="EW39" s="150"/>
      <c r="EX39" s="150"/>
      <c r="EY39" s="150"/>
      <c r="EZ39" s="150"/>
      <c r="FA39" s="150"/>
      <c r="FB39" s="150"/>
      <c r="FC39" s="150"/>
      <c r="FD39" s="150"/>
      <c r="FE39" s="150"/>
      <c r="FF39" s="150"/>
      <c r="FG39" s="15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  <c r="IU39" s="150"/>
    </row>
    <row r="40" spans="1:255" s="23" customFormat="1" ht="20.100000000000001" customHeight="1" x14ac:dyDescent="0.2">
      <c r="A40" s="120" t="s">
        <v>49</v>
      </c>
      <c r="B40" s="26"/>
      <c r="C40" s="27"/>
      <c r="D40" s="6"/>
      <c r="E40" s="6"/>
      <c r="F40" s="6"/>
      <c r="G40" s="6"/>
      <c r="H40" s="6"/>
      <c r="I40" s="6"/>
      <c r="J40" s="6"/>
      <c r="K40" s="6"/>
      <c r="L40" s="6">
        <v>2</v>
      </c>
      <c r="M40" s="6">
        <v>6</v>
      </c>
      <c r="N40" s="6">
        <v>15</v>
      </c>
      <c r="O40" s="6">
        <f>49.7+14</f>
        <v>63.7</v>
      </c>
      <c r="P40" s="6">
        <v>80</v>
      </c>
      <c r="Q40" s="6">
        <v>73</v>
      </c>
      <c r="R40" s="119">
        <v>68</v>
      </c>
      <c r="S40" s="119">
        <v>89</v>
      </c>
      <c r="T40" s="119">
        <v>79.83</v>
      </c>
      <c r="U40" s="6">
        <v>78</v>
      </c>
      <c r="V40" s="5"/>
      <c r="W40" s="5"/>
      <c r="X40" s="5"/>
      <c r="Y40" s="5"/>
      <c r="Z40" s="5"/>
      <c r="AA40" s="5"/>
      <c r="AB40" s="5"/>
      <c r="AC40" s="5"/>
      <c r="AD40" s="5"/>
    </row>
    <row r="41" spans="1:255" s="23" customFormat="1" ht="20.100000000000001" customHeight="1" x14ac:dyDescent="0.2">
      <c r="A41" s="25" t="s">
        <v>50</v>
      </c>
      <c r="B41" s="26"/>
      <c r="C41" s="27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119"/>
      <c r="S41" s="119"/>
      <c r="T41" s="119"/>
      <c r="U41" s="6"/>
      <c r="V41" s="5"/>
      <c r="W41" s="5"/>
      <c r="X41" s="5"/>
      <c r="Y41" s="5"/>
      <c r="Z41" s="5"/>
      <c r="AA41" s="5"/>
      <c r="AB41" s="5"/>
      <c r="AC41" s="5"/>
      <c r="AD41" s="5"/>
    </row>
    <row r="42" spans="1:255" s="23" customFormat="1" ht="20.100000000000001" customHeight="1" x14ac:dyDescent="0.2">
      <c r="A42" s="25" t="s">
        <v>51</v>
      </c>
      <c r="B42" s="26"/>
      <c r="C42" s="27"/>
      <c r="D42" s="6">
        <v>2147</v>
      </c>
      <c r="E42" s="6">
        <v>2010</v>
      </c>
      <c r="F42" s="6">
        <v>2231</v>
      </c>
      <c r="G42" s="6">
        <v>2230</v>
      </c>
      <c r="H42" s="6">
        <v>1884</v>
      </c>
      <c r="I42" s="6">
        <v>1948</v>
      </c>
      <c r="J42" s="6">
        <v>2028</v>
      </c>
      <c r="K42" s="6">
        <v>2186</v>
      </c>
      <c r="L42" s="6">
        <v>2114</v>
      </c>
      <c r="M42" s="6"/>
      <c r="N42" s="6"/>
      <c r="O42" s="6">
        <f>(29854+40321+19676)/100</f>
        <v>898.51</v>
      </c>
      <c r="P42" s="6"/>
      <c r="Q42" s="6">
        <v>2300.39</v>
      </c>
      <c r="R42" s="119">
        <v>2223.3200000000002</v>
      </c>
      <c r="S42" s="119">
        <v>2054.29</v>
      </c>
      <c r="T42" s="119"/>
      <c r="U42" s="6">
        <v>2350</v>
      </c>
      <c r="V42" s="5"/>
      <c r="W42" s="5"/>
      <c r="X42" s="5"/>
      <c r="Y42" s="5"/>
      <c r="Z42" s="5"/>
      <c r="AA42" s="5"/>
      <c r="AB42" s="5"/>
      <c r="AC42" s="5"/>
      <c r="AD42" s="5"/>
    </row>
    <row r="43" spans="1:255" s="23" customFormat="1" ht="20.100000000000001" customHeight="1" x14ac:dyDescent="0.2">
      <c r="A43" s="25" t="s">
        <v>52</v>
      </c>
      <c r="B43" s="26"/>
      <c r="C43" s="2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119"/>
      <c r="S43" s="119"/>
      <c r="T43" s="119"/>
      <c r="U43" s="6"/>
      <c r="V43" s="5"/>
      <c r="W43" s="5"/>
      <c r="X43" s="5"/>
      <c r="Y43" s="5"/>
      <c r="Z43" s="5"/>
      <c r="AA43" s="5"/>
      <c r="AB43" s="5"/>
      <c r="AC43" s="5"/>
      <c r="AD43" s="5"/>
    </row>
    <row r="44" spans="1:255" s="23" customFormat="1" ht="20.100000000000001" customHeight="1" x14ac:dyDescent="0.2">
      <c r="A44" s="25" t="s">
        <v>53</v>
      </c>
      <c r="B44" s="26"/>
      <c r="C44" s="27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119"/>
      <c r="S44" s="119"/>
      <c r="T44" s="119"/>
      <c r="U44" s="6"/>
      <c r="V44" s="5"/>
      <c r="W44" s="5"/>
      <c r="X44" s="5"/>
      <c r="Y44" s="5"/>
      <c r="Z44" s="5"/>
      <c r="AA44" s="5"/>
      <c r="AB44" s="5"/>
      <c r="AC44" s="5"/>
      <c r="AD44" s="5">
        <v>7.13</v>
      </c>
    </row>
    <row r="45" spans="1:255" s="23" customFormat="1" ht="20.100000000000001" customHeight="1" x14ac:dyDescent="0.2">
      <c r="A45" s="25" t="s">
        <v>54</v>
      </c>
      <c r="B45" s="26"/>
      <c r="C45" s="27"/>
      <c r="D45" s="6"/>
      <c r="E45" s="6"/>
      <c r="F45" s="6"/>
      <c r="G45" s="6"/>
      <c r="H45" s="6"/>
      <c r="I45" s="6"/>
      <c r="J45" s="6"/>
      <c r="K45" s="6"/>
      <c r="L45" s="6">
        <v>7</v>
      </c>
      <c r="M45" s="6">
        <v>15</v>
      </c>
      <c r="N45" s="6"/>
      <c r="O45" s="6"/>
      <c r="P45" s="6"/>
      <c r="Q45" s="6"/>
      <c r="R45" s="119">
        <v>7</v>
      </c>
      <c r="S45" s="119">
        <v>6.4</v>
      </c>
      <c r="T45" s="119">
        <v>8</v>
      </c>
      <c r="U45" s="6">
        <v>11</v>
      </c>
      <c r="V45" s="5"/>
      <c r="W45" s="5"/>
      <c r="X45" s="5"/>
      <c r="Y45" s="5"/>
      <c r="Z45" s="5"/>
      <c r="AA45" s="5"/>
      <c r="AB45" s="5"/>
      <c r="AC45" s="5"/>
      <c r="AD45" s="5"/>
    </row>
    <row r="46" spans="1:255" s="31" customFormat="1" ht="20.100000000000001" customHeight="1" x14ac:dyDescent="0.2">
      <c r="A46" s="80" t="s">
        <v>55</v>
      </c>
      <c r="B46" s="81"/>
      <c r="C46" s="82"/>
      <c r="D46" s="83">
        <f>+D16+D27+D36+D37+D42+D40+D45</f>
        <v>18873</v>
      </c>
      <c r="E46" s="83">
        <f t="shared" ref="E46:P46" si="12">+E16+E27+E36+E37+E42+E40+E45</f>
        <v>20585</v>
      </c>
      <c r="F46" s="83">
        <f t="shared" si="12"/>
        <v>20976</v>
      </c>
      <c r="G46" s="83">
        <f t="shared" si="12"/>
        <v>19987</v>
      </c>
      <c r="H46" s="83">
        <f t="shared" si="12"/>
        <v>16481</v>
      </c>
      <c r="I46" s="83">
        <f t="shared" si="12"/>
        <v>17423</v>
      </c>
      <c r="J46" s="79">
        <f t="shared" si="12"/>
        <v>18473</v>
      </c>
      <c r="K46" s="79">
        <f t="shared" si="12"/>
        <v>18816</v>
      </c>
      <c r="L46" s="79">
        <f t="shared" si="12"/>
        <v>18414.39</v>
      </c>
      <c r="M46" s="79">
        <f t="shared" si="12"/>
        <v>15900.85</v>
      </c>
      <c r="N46" s="79">
        <f t="shared" si="12"/>
        <v>14950</v>
      </c>
      <c r="O46" s="79">
        <f t="shared" si="12"/>
        <v>15532.890000000001</v>
      </c>
      <c r="P46" s="79">
        <f t="shared" si="12"/>
        <v>14572.48</v>
      </c>
      <c r="Q46" s="79">
        <f t="shared" ref="Q46:Z46" si="13">SUM(Q16+Q27+Q36+Q37+Q40+Q42+Q45)</f>
        <v>14321.39</v>
      </c>
      <c r="R46" s="79">
        <f t="shared" si="13"/>
        <v>14413.32</v>
      </c>
      <c r="S46" s="79">
        <f t="shared" si="13"/>
        <v>14116.890000000001</v>
      </c>
      <c r="T46" s="79">
        <f t="shared" si="13"/>
        <v>10239.410000000002</v>
      </c>
      <c r="U46" s="79">
        <f t="shared" si="13"/>
        <v>13160</v>
      </c>
      <c r="V46" s="79">
        <f t="shared" si="13"/>
        <v>9306</v>
      </c>
      <c r="W46" s="79">
        <f t="shared" si="13"/>
        <v>7755</v>
      </c>
      <c r="X46" s="79">
        <f t="shared" si="13"/>
        <v>8590</v>
      </c>
      <c r="Y46" s="79">
        <f t="shared" si="13"/>
        <v>10199</v>
      </c>
      <c r="Z46" s="79">
        <f t="shared" si="13"/>
        <v>10460</v>
      </c>
      <c r="AA46" s="79">
        <f>SUM(AA16+AA27+AA36+AA37+AA40+AA42+AA45)</f>
        <v>10221</v>
      </c>
      <c r="AB46" s="79">
        <f t="shared" ref="AB46" si="14">SUM(AB16+AB27+AB36+AB37+AB40+AB42+AB45)</f>
        <v>12205</v>
      </c>
      <c r="AC46" s="79">
        <f t="shared" ref="AC46" si="15">SUM(AC16+AC27+AC36+AC37+AC40+AC42+AC45)</f>
        <v>10908</v>
      </c>
      <c r="AD46" s="79">
        <f>SUM(AD16,AD27,AD36,AD37:AD45)</f>
        <v>10504.489999999998</v>
      </c>
    </row>
    <row r="47" spans="1:255" s="17" customFormat="1" x14ac:dyDescent="0.2">
      <c r="F47" s="18" t="s">
        <v>32</v>
      </c>
      <c r="G47" s="18" t="s">
        <v>32</v>
      </c>
      <c r="I47" s="19"/>
      <c r="J47"/>
      <c r="K47"/>
      <c r="L47"/>
      <c r="M47"/>
      <c r="N47"/>
      <c r="O47"/>
      <c r="P47"/>
      <c r="Q47"/>
      <c r="R47" s="146"/>
      <c r="S47" s="146"/>
      <c r="T47" s="146"/>
      <c r="U47" s="176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</row>
    <row r="48" spans="1:255" x14ac:dyDescent="0.2">
      <c r="A48" s="125"/>
      <c r="B48" s="125"/>
      <c r="C48" s="125"/>
      <c r="D48" s="125"/>
      <c r="E48" s="125"/>
      <c r="F48" s="125"/>
      <c r="G48" s="125"/>
      <c r="H48" s="125"/>
    </row>
    <row r="51" spans="4:4" x14ac:dyDescent="0.2">
      <c r="D51" t="s">
        <v>56</v>
      </c>
    </row>
  </sheetData>
  <mergeCells count="4">
    <mergeCell ref="A2:I2"/>
    <mergeCell ref="M5:M6"/>
    <mergeCell ref="M11:M12"/>
    <mergeCell ref="N5:N6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61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D48"/>
  <sheetViews>
    <sheetView zoomScaleNormal="100" workbookViewId="0">
      <pane xSplit="3" topLeftCell="P1" activePane="topRight" state="frozen"/>
      <selection activeCell="AA35" sqref="AA35"/>
      <selection pane="topRight" activeCell="AD4" sqref="AD4"/>
    </sheetView>
  </sheetViews>
  <sheetFormatPr defaultColWidth="11.42578125" defaultRowHeight="12.75" x14ac:dyDescent="0.2"/>
  <cols>
    <col min="1" max="2" width="11.42578125" customWidth="1"/>
    <col min="3" max="3" width="4.140625" customWidth="1"/>
    <col min="4" max="9" width="11.42578125" hidden="1" customWidth="1"/>
    <col min="10" max="10" width="11" bestFit="1" customWidth="1"/>
    <col min="11" max="13" width="11.42578125" customWidth="1"/>
    <col min="14" max="17" width="0" hidden="1" customWidth="1"/>
  </cols>
  <sheetData>
    <row r="1" spans="1:30" ht="17.100000000000001" customHeight="1" x14ac:dyDescent="0.25">
      <c r="A1" s="69" t="s">
        <v>57</v>
      </c>
      <c r="B1" s="70"/>
      <c r="C1" s="70"/>
      <c r="D1" s="70"/>
      <c r="E1" s="1"/>
      <c r="F1" s="1"/>
      <c r="G1" s="1"/>
      <c r="H1" s="1"/>
      <c r="I1" s="1"/>
    </row>
    <row r="2" spans="1:30" ht="17.100000000000001" customHeight="1" x14ac:dyDescent="0.25">
      <c r="B2" s="45"/>
      <c r="C2" s="45"/>
      <c r="D2" s="45"/>
      <c r="E2" s="45"/>
      <c r="F2" s="45"/>
      <c r="G2" s="45"/>
      <c r="H2" s="45"/>
      <c r="I2" s="45"/>
    </row>
    <row r="3" spans="1:30" ht="17.100000000000001" customHeight="1" x14ac:dyDescent="0.25">
      <c r="A3" s="298" t="s">
        <v>10</v>
      </c>
      <c r="B3" s="298"/>
      <c r="C3" s="298"/>
      <c r="D3" s="298"/>
      <c r="E3" s="298"/>
      <c r="F3" s="298"/>
      <c r="G3" s="298"/>
      <c r="H3" s="298"/>
      <c r="I3" s="298"/>
    </row>
    <row r="4" spans="1:30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01"/>
    </row>
    <row r="5" spans="1:30" s="38" customFormat="1" ht="20.100000000000001" customHeight="1" x14ac:dyDescent="0.25">
      <c r="A5" s="71" t="s">
        <v>11</v>
      </c>
      <c r="B5" s="72"/>
      <c r="C5" s="7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74">
        <v>2002</v>
      </c>
      <c r="J5" s="74">
        <v>2003</v>
      </c>
      <c r="K5" s="74">
        <v>2004</v>
      </c>
      <c r="L5" s="74">
        <v>2005</v>
      </c>
      <c r="M5" s="74">
        <v>2006</v>
      </c>
      <c r="N5" s="74">
        <v>2007</v>
      </c>
      <c r="O5" s="74">
        <v>2008</v>
      </c>
      <c r="P5" s="74">
        <v>2009</v>
      </c>
      <c r="Q5" s="74">
        <v>2010</v>
      </c>
      <c r="R5" s="74">
        <v>2011</v>
      </c>
      <c r="S5" s="74">
        <v>2012</v>
      </c>
      <c r="T5" s="204">
        <v>2013</v>
      </c>
      <c r="U5" s="204">
        <v>2014</v>
      </c>
      <c r="V5" s="204">
        <v>2015</v>
      </c>
      <c r="W5" s="204">
        <v>2016</v>
      </c>
      <c r="X5" s="204">
        <v>2017</v>
      </c>
      <c r="Y5" s="204">
        <v>2018</v>
      </c>
      <c r="Z5" s="204">
        <v>2019</v>
      </c>
      <c r="AA5" s="204">
        <v>2020</v>
      </c>
      <c r="AB5" s="204">
        <v>2021</v>
      </c>
      <c r="AC5" s="204">
        <v>2022</v>
      </c>
      <c r="AD5" s="204">
        <v>2023</v>
      </c>
    </row>
    <row r="6" spans="1:30" s="23" customFormat="1" ht="20.100000000000001" customHeight="1" x14ac:dyDescent="0.2">
      <c r="A6" s="25" t="s">
        <v>13</v>
      </c>
      <c r="B6" s="26"/>
      <c r="C6" s="27"/>
      <c r="D6" s="6">
        <v>38309</v>
      </c>
      <c r="E6" s="6">
        <v>32366</v>
      </c>
      <c r="F6" s="6">
        <v>36647</v>
      </c>
      <c r="G6" s="6">
        <v>38770</v>
      </c>
      <c r="H6" s="6">
        <v>37250</v>
      </c>
      <c r="I6" s="6">
        <v>36730</v>
      </c>
      <c r="J6" s="6">
        <v>29230</v>
      </c>
      <c r="K6" s="6">
        <v>32565</v>
      </c>
      <c r="L6" s="6">
        <v>32290</v>
      </c>
      <c r="M6" s="6">
        <v>30515</v>
      </c>
      <c r="N6" s="6">
        <v>27100</v>
      </c>
      <c r="O6" s="6">
        <v>30978</v>
      </c>
      <c r="P6" s="119">
        <v>24567</v>
      </c>
      <c r="Q6" s="119">
        <v>20585</v>
      </c>
      <c r="R6" s="164">
        <v>22755</v>
      </c>
      <c r="S6" s="185">
        <v>27764</v>
      </c>
      <c r="T6" s="185">
        <v>26709</v>
      </c>
      <c r="U6" s="185">
        <v>25251</v>
      </c>
      <c r="V6" s="185">
        <v>28777</v>
      </c>
      <c r="W6" s="185">
        <v>24702</v>
      </c>
      <c r="X6" s="185">
        <v>25067</v>
      </c>
      <c r="Y6" s="185">
        <v>27992</v>
      </c>
      <c r="Z6" s="185">
        <v>24927</v>
      </c>
      <c r="AA6" s="185">
        <v>25200</v>
      </c>
      <c r="AB6" s="185">
        <v>24798</v>
      </c>
      <c r="AC6" s="185">
        <v>24138</v>
      </c>
      <c r="AD6" s="185"/>
    </row>
    <row r="7" spans="1:30" s="23" customFormat="1" ht="20.100000000000001" customHeight="1" x14ac:dyDescent="0.2">
      <c r="A7" s="25" t="s">
        <v>14</v>
      </c>
      <c r="B7" s="26"/>
      <c r="C7" s="27"/>
      <c r="D7" s="6">
        <v>7842</v>
      </c>
      <c r="E7" s="6">
        <v>8036</v>
      </c>
      <c r="F7" s="6">
        <v>7601</v>
      </c>
      <c r="G7" s="6">
        <v>6734</v>
      </c>
      <c r="H7" s="6">
        <v>6182</v>
      </c>
      <c r="I7" s="6">
        <v>5426</v>
      </c>
      <c r="J7" s="6">
        <v>5757</v>
      </c>
      <c r="K7" s="6">
        <v>5159</v>
      </c>
      <c r="L7" s="6">
        <v>5380</v>
      </c>
      <c r="M7" s="6">
        <v>6465</v>
      </c>
      <c r="N7" s="6">
        <v>6330</v>
      </c>
      <c r="O7" s="6">
        <v>6734</v>
      </c>
      <c r="P7" s="119">
        <v>6531</v>
      </c>
      <c r="Q7" s="119">
        <v>4867</v>
      </c>
      <c r="R7" s="165">
        <v>5387</v>
      </c>
      <c r="S7" s="185">
        <v>4704</v>
      </c>
      <c r="T7" s="185">
        <v>3717</v>
      </c>
      <c r="U7" s="185">
        <v>4654.1900000000005</v>
      </c>
      <c r="V7" s="185">
        <v>8027</v>
      </c>
      <c r="W7" s="185">
        <v>3531</v>
      </c>
      <c r="X7" s="185">
        <v>4361</v>
      </c>
      <c r="Y7" s="185">
        <v>3860</v>
      </c>
      <c r="Z7" s="185">
        <v>3975</v>
      </c>
      <c r="AA7" s="185">
        <v>3050</v>
      </c>
      <c r="AB7" s="185">
        <v>2689</v>
      </c>
      <c r="AC7" s="185">
        <v>2154</v>
      </c>
      <c r="AD7" s="185"/>
    </row>
    <row r="8" spans="1:30" s="23" customFormat="1" ht="20.100000000000001" customHeight="1" x14ac:dyDescent="0.2">
      <c r="A8" s="25" t="s">
        <v>58</v>
      </c>
      <c r="B8" s="26"/>
      <c r="C8" s="27"/>
      <c r="D8" s="6">
        <v>1577</v>
      </c>
      <c r="E8" s="6">
        <v>1327</v>
      </c>
      <c r="F8" s="6">
        <v>1641</v>
      </c>
      <c r="G8" s="6">
        <v>2758</v>
      </c>
      <c r="H8" s="6">
        <v>2810</v>
      </c>
      <c r="I8" s="6">
        <v>3251</v>
      </c>
      <c r="J8" s="6">
        <v>2191</v>
      </c>
      <c r="K8" s="6">
        <v>2465</v>
      </c>
      <c r="L8" s="6">
        <v>3025</v>
      </c>
      <c r="M8" s="6">
        <v>2766</v>
      </c>
      <c r="N8" s="6">
        <v>2662</v>
      </c>
      <c r="O8" s="6">
        <v>3516</v>
      </c>
      <c r="P8" s="119">
        <v>3425</v>
      </c>
      <c r="Q8" s="119">
        <v>2463</v>
      </c>
      <c r="R8" s="164">
        <v>2346</v>
      </c>
      <c r="S8" s="185">
        <v>2581</v>
      </c>
      <c r="T8" s="185">
        <v>2683</v>
      </c>
      <c r="U8" s="185">
        <v>2443.6999999999998</v>
      </c>
      <c r="V8" s="185">
        <v>1836</v>
      </c>
      <c r="W8" s="185">
        <v>2336</v>
      </c>
      <c r="X8" s="185">
        <v>2786</v>
      </c>
      <c r="Y8" s="185">
        <v>4401</v>
      </c>
      <c r="Z8" s="185">
        <v>3560</v>
      </c>
      <c r="AA8" s="185">
        <v>3608</v>
      </c>
      <c r="AB8" s="185">
        <v>3736</v>
      </c>
      <c r="AC8" s="185">
        <v>3757</v>
      </c>
      <c r="AD8" s="185"/>
    </row>
    <row r="9" spans="1:30" s="23" customFormat="1" ht="20.100000000000001" customHeight="1" x14ac:dyDescent="0.2">
      <c r="A9" s="25" t="s">
        <v>16</v>
      </c>
      <c r="B9" s="26"/>
      <c r="C9" s="27"/>
      <c r="D9" s="6">
        <v>2869</v>
      </c>
      <c r="E9" s="6">
        <v>3267</v>
      </c>
      <c r="F9" s="6">
        <v>2234</v>
      </c>
      <c r="G9" s="6">
        <v>2557</v>
      </c>
      <c r="H9" s="6">
        <v>2433</v>
      </c>
      <c r="I9" s="6">
        <v>2040</v>
      </c>
      <c r="J9" s="6">
        <v>1683</v>
      </c>
      <c r="K9" s="6">
        <v>1620</v>
      </c>
      <c r="L9" s="6">
        <v>1104</v>
      </c>
      <c r="M9" s="6">
        <v>851</v>
      </c>
      <c r="N9" s="6"/>
      <c r="O9" s="6">
        <v>1417</v>
      </c>
      <c r="P9" s="119">
        <v>1800</v>
      </c>
      <c r="Q9" s="119">
        <v>1549</v>
      </c>
      <c r="R9" s="165">
        <v>1351</v>
      </c>
      <c r="S9" s="185">
        <v>1609</v>
      </c>
      <c r="T9" s="185">
        <v>2358</v>
      </c>
      <c r="U9" s="185">
        <v>1996</v>
      </c>
      <c r="V9" s="185">
        <v>2538</v>
      </c>
      <c r="W9" s="185">
        <v>1756</v>
      </c>
      <c r="X9" s="185">
        <v>1755</v>
      </c>
      <c r="Y9" s="185">
        <v>2142</v>
      </c>
      <c r="Z9" s="185">
        <v>3573</v>
      </c>
      <c r="AA9" s="185">
        <v>3850</v>
      </c>
      <c r="AB9" s="185">
        <v>2518</v>
      </c>
      <c r="AC9" s="185">
        <v>2463</v>
      </c>
      <c r="AD9" s="185"/>
    </row>
    <row r="10" spans="1:30" s="23" customFormat="1" ht="20.100000000000001" customHeight="1" x14ac:dyDescent="0.2">
      <c r="A10" s="25" t="s">
        <v>17</v>
      </c>
      <c r="B10" s="26"/>
      <c r="C10" s="27"/>
      <c r="D10" s="6">
        <v>590</v>
      </c>
      <c r="E10" s="6">
        <v>1196</v>
      </c>
      <c r="F10" s="6">
        <v>2233</v>
      </c>
      <c r="G10" s="6">
        <v>1844</v>
      </c>
      <c r="H10" s="6">
        <v>2372</v>
      </c>
      <c r="I10" s="6">
        <v>1405</v>
      </c>
      <c r="J10" s="6">
        <v>1455</v>
      </c>
      <c r="K10" s="6">
        <v>1657</v>
      </c>
      <c r="L10" s="6">
        <v>1795</v>
      </c>
      <c r="M10" s="6">
        <v>1678</v>
      </c>
      <c r="N10" s="6">
        <v>1582</v>
      </c>
      <c r="O10" s="6">
        <v>1829</v>
      </c>
      <c r="P10" s="119">
        <v>1674</v>
      </c>
      <c r="Q10" s="119">
        <v>987</v>
      </c>
      <c r="R10" s="165">
        <v>1448</v>
      </c>
      <c r="S10" s="185">
        <v>949</v>
      </c>
      <c r="T10" s="185">
        <v>649</v>
      </c>
      <c r="U10" s="185">
        <v>423</v>
      </c>
      <c r="V10" s="185">
        <v>822</v>
      </c>
      <c r="W10" s="185">
        <v>273</v>
      </c>
      <c r="X10" s="185">
        <v>270</v>
      </c>
      <c r="Y10" s="185">
        <v>222</v>
      </c>
      <c r="Z10" s="185">
        <v>399</v>
      </c>
      <c r="AA10" s="185">
        <v>299</v>
      </c>
      <c r="AB10" s="185">
        <v>229</v>
      </c>
      <c r="AC10" s="185">
        <v>205</v>
      </c>
      <c r="AD10" s="185"/>
    </row>
    <row r="11" spans="1:30" s="23" customFormat="1" ht="20.100000000000001" customHeight="1" x14ac:dyDescent="0.2">
      <c r="A11" s="25" t="s">
        <v>59</v>
      </c>
      <c r="B11" s="26"/>
      <c r="C11" s="27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119"/>
      <c r="Q11" s="119"/>
      <c r="R11" s="16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</row>
    <row r="12" spans="1:30" s="23" customFormat="1" ht="20.100000000000001" customHeight="1" x14ac:dyDescent="0.2">
      <c r="A12" s="25" t="s">
        <v>19</v>
      </c>
      <c r="B12" s="26"/>
      <c r="C12" s="27"/>
      <c r="D12" s="6">
        <v>184</v>
      </c>
      <c r="E12" s="6">
        <v>234</v>
      </c>
      <c r="F12" s="6">
        <v>334</v>
      </c>
      <c r="G12" s="6">
        <v>631</v>
      </c>
      <c r="H12" s="6">
        <v>532</v>
      </c>
      <c r="I12" s="6">
        <v>725</v>
      </c>
      <c r="J12" s="6">
        <v>704</v>
      </c>
      <c r="K12" s="6">
        <v>1131</v>
      </c>
      <c r="L12" s="6">
        <v>1165</v>
      </c>
      <c r="M12" s="6">
        <v>843</v>
      </c>
      <c r="N12" s="6">
        <v>622</v>
      </c>
      <c r="O12" s="6">
        <v>724</v>
      </c>
      <c r="P12" s="119">
        <v>862</v>
      </c>
      <c r="Q12" s="119">
        <v>878</v>
      </c>
      <c r="R12" s="164">
        <v>1410</v>
      </c>
      <c r="S12" s="185">
        <v>2300</v>
      </c>
      <c r="T12" s="185">
        <v>1799</v>
      </c>
      <c r="U12" s="185">
        <v>1478.23</v>
      </c>
      <c r="V12" s="185">
        <v>621</v>
      </c>
      <c r="W12" s="185">
        <v>1005</v>
      </c>
      <c r="X12" s="185">
        <v>880</v>
      </c>
      <c r="Y12" s="185">
        <v>1833</v>
      </c>
      <c r="Z12" s="185">
        <v>930</v>
      </c>
      <c r="AA12" s="185">
        <v>1050</v>
      </c>
      <c r="AB12" s="185">
        <v>1636</v>
      </c>
      <c r="AC12" s="185">
        <v>1169</v>
      </c>
      <c r="AD12" s="185"/>
    </row>
    <row r="13" spans="1:30" s="23" customFormat="1" ht="20.100000000000001" customHeight="1" x14ac:dyDescent="0.2">
      <c r="A13" s="25" t="s">
        <v>20</v>
      </c>
      <c r="B13" s="26"/>
      <c r="C13" s="27"/>
      <c r="D13" s="6">
        <v>33744</v>
      </c>
      <c r="E13" s="6">
        <v>35619</v>
      </c>
      <c r="F13" s="6">
        <v>32069</v>
      </c>
      <c r="G13" s="6">
        <v>30971</v>
      </c>
      <c r="H13" s="6">
        <v>29865</v>
      </c>
      <c r="I13" s="6">
        <v>24602</v>
      </c>
      <c r="J13" s="6">
        <v>22804</v>
      </c>
      <c r="K13" s="6">
        <v>24801</v>
      </c>
      <c r="L13" s="6">
        <v>21621</v>
      </c>
      <c r="M13" s="6">
        <v>22947</v>
      </c>
      <c r="N13" s="6">
        <v>22454</v>
      </c>
      <c r="O13" s="6">
        <v>23362</v>
      </c>
      <c r="P13" s="119">
        <v>22993</v>
      </c>
      <c r="Q13" s="119">
        <v>18481</v>
      </c>
      <c r="R13" s="165">
        <v>20565</v>
      </c>
      <c r="S13" s="185">
        <v>18778</v>
      </c>
      <c r="T13" s="185">
        <v>16164</v>
      </c>
      <c r="U13" s="185">
        <v>20204.949999999997</v>
      </c>
      <c r="V13" s="185">
        <v>19815</v>
      </c>
      <c r="W13" s="185">
        <v>17545</v>
      </c>
      <c r="X13" s="185">
        <v>17783</v>
      </c>
      <c r="Y13" s="185">
        <v>13391</v>
      </c>
      <c r="Z13" s="185">
        <v>18006</v>
      </c>
      <c r="AA13" s="185">
        <v>17836</v>
      </c>
      <c r="AB13" s="185">
        <v>16214</v>
      </c>
      <c r="AC13" s="185">
        <v>16379</v>
      </c>
      <c r="AD13" s="185"/>
    </row>
    <row r="14" spans="1:30" s="23" customFormat="1" ht="20.100000000000001" customHeight="1" x14ac:dyDescent="0.2">
      <c r="A14" s="25" t="s">
        <v>22</v>
      </c>
      <c r="B14" s="26"/>
      <c r="C14" s="27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19"/>
      <c r="Q14" s="119"/>
      <c r="R14" s="149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</row>
    <row r="15" spans="1:30" s="23" customFormat="1" ht="20.100000000000001" customHeight="1" x14ac:dyDescent="0.2">
      <c r="A15" s="25" t="s">
        <v>23</v>
      </c>
      <c r="B15" s="26"/>
      <c r="C15" s="27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08"/>
      <c r="Q15" s="108"/>
      <c r="R15" s="132"/>
      <c r="S15" s="186"/>
      <c r="T15" s="186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</row>
    <row r="16" spans="1:30" s="23" customFormat="1" ht="20.100000000000001" customHeight="1" x14ac:dyDescent="0.2">
      <c r="A16" s="76" t="s">
        <v>24</v>
      </c>
      <c r="B16" s="77"/>
      <c r="C16" s="78"/>
      <c r="D16" s="79">
        <v>85115</v>
      </c>
      <c r="E16" s="79">
        <v>82045</v>
      </c>
      <c r="F16" s="79">
        <v>82759</v>
      </c>
      <c r="G16" s="79">
        <v>84265</v>
      </c>
      <c r="H16" s="79">
        <v>81444</v>
      </c>
      <c r="I16" s="79">
        <v>74179</v>
      </c>
      <c r="J16" s="79">
        <f t="shared" ref="J16:Z16" si="0">SUM(J6:J15)</f>
        <v>63824</v>
      </c>
      <c r="K16" s="79">
        <f t="shared" si="0"/>
        <v>69398</v>
      </c>
      <c r="L16" s="79">
        <f t="shared" si="0"/>
        <v>66380</v>
      </c>
      <c r="M16" s="79">
        <f t="shared" si="0"/>
        <v>66065</v>
      </c>
      <c r="N16" s="79">
        <f t="shared" si="0"/>
        <v>60750</v>
      </c>
      <c r="O16" s="79">
        <f t="shared" si="0"/>
        <v>68560</v>
      </c>
      <c r="P16" s="79">
        <f t="shared" si="0"/>
        <v>61852</v>
      </c>
      <c r="Q16" s="79">
        <f t="shared" si="0"/>
        <v>49810</v>
      </c>
      <c r="R16" s="79">
        <f t="shared" si="0"/>
        <v>55262</v>
      </c>
      <c r="S16" s="79">
        <f t="shared" si="0"/>
        <v>58685</v>
      </c>
      <c r="T16" s="79">
        <f t="shared" si="0"/>
        <v>54079</v>
      </c>
      <c r="U16" s="79">
        <f t="shared" si="0"/>
        <v>56451.07</v>
      </c>
      <c r="V16" s="79">
        <f t="shared" si="0"/>
        <v>62436</v>
      </c>
      <c r="W16" s="79">
        <f t="shared" si="0"/>
        <v>51148</v>
      </c>
      <c r="X16" s="79">
        <f t="shared" si="0"/>
        <v>52902</v>
      </c>
      <c r="Y16" s="79">
        <f t="shared" si="0"/>
        <v>53841</v>
      </c>
      <c r="Z16" s="79">
        <f t="shared" si="0"/>
        <v>55370</v>
      </c>
      <c r="AA16" s="79">
        <f t="shared" ref="AA16" si="1">SUM(AA6:AA15)</f>
        <v>54893</v>
      </c>
      <c r="AB16" s="79">
        <f t="shared" ref="AB16:AC16" si="2">SUM(AB6:AB15)</f>
        <v>51820</v>
      </c>
      <c r="AC16" s="79">
        <f t="shared" si="2"/>
        <v>50265</v>
      </c>
      <c r="AD16" s="79">
        <f t="shared" ref="AD16" si="3">SUM(AD6:AD15)</f>
        <v>0</v>
      </c>
    </row>
    <row r="17" spans="1:30" s="23" customFormat="1" ht="20.100000000000001" customHeight="1" x14ac:dyDescent="0.2">
      <c r="A17" s="25" t="s">
        <v>25</v>
      </c>
      <c r="B17" s="26"/>
      <c r="C17" s="27"/>
      <c r="D17" s="6">
        <v>2448</v>
      </c>
      <c r="E17" s="6">
        <v>2494</v>
      </c>
      <c r="F17" s="6">
        <v>2658</v>
      </c>
      <c r="G17" s="6">
        <v>3020</v>
      </c>
      <c r="H17" s="6">
        <v>2923</v>
      </c>
      <c r="I17" s="6">
        <v>3619</v>
      </c>
      <c r="J17" s="6">
        <v>3769</v>
      </c>
      <c r="K17" s="6">
        <v>3491</v>
      </c>
      <c r="L17" s="6">
        <v>2662</v>
      </c>
      <c r="M17" s="6">
        <v>2116</v>
      </c>
      <c r="N17" s="6">
        <v>3255</v>
      </c>
      <c r="O17" s="6">
        <v>4563</v>
      </c>
      <c r="P17" s="6">
        <v>5312</v>
      </c>
      <c r="Q17" s="6">
        <v>2645</v>
      </c>
      <c r="R17" s="149">
        <v>1207</v>
      </c>
      <c r="S17" s="6">
        <v>953</v>
      </c>
      <c r="T17" s="119">
        <v>1408</v>
      </c>
      <c r="U17" s="202">
        <v>2098</v>
      </c>
      <c r="V17" s="203">
        <v>2815</v>
      </c>
      <c r="W17" s="119">
        <v>4262</v>
      </c>
      <c r="X17" s="119">
        <v>4898</v>
      </c>
      <c r="Y17" s="119">
        <v>5288</v>
      </c>
      <c r="Z17" s="185">
        <v>5628</v>
      </c>
      <c r="AA17" s="119">
        <v>4662</v>
      </c>
      <c r="AB17" s="119">
        <v>3221</v>
      </c>
      <c r="AC17" s="119">
        <v>3476</v>
      </c>
      <c r="AD17" s="119"/>
    </row>
    <row r="18" spans="1:30" s="23" customFormat="1" ht="20.100000000000001" customHeight="1" x14ac:dyDescent="0.2">
      <c r="A18" s="25" t="s">
        <v>26</v>
      </c>
      <c r="B18" s="26"/>
      <c r="C18" s="27"/>
      <c r="D18" s="6">
        <v>475</v>
      </c>
      <c r="E18" s="6">
        <v>293</v>
      </c>
      <c r="F18" s="6">
        <v>318</v>
      </c>
      <c r="G18" s="6">
        <v>552</v>
      </c>
      <c r="H18" s="6">
        <v>655</v>
      </c>
      <c r="I18" s="6">
        <v>895</v>
      </c>
      <c r="J18" s="6">
        <v>889</v>
      </c>
      <c r="K18" s="6">
        <v>859</v>
      </c>
      <c r="L18" s="6">
        <v>740</v>
      </c>
      <c r="M18" s="6">
        <v>648</v>
      </c>
      <c r="N18" s="6">
        <v>449</v>
      </c>
      <c r="O18" s="6">
        <v>350</v>
      </c>
      <c r="P18" s="6">
        <v>253</v>
      </c>
      <c r="Q18" s="6">
        <v>212</v>
      </c>
      <c r="R18" s="149">
        <v>327</v>
      </c>
      <c r="S18" s="6">
        <v>374</v>
      </c>
      <c r="T18" s="119">
        <v>254</v>
      </c>
      <c r="U18" s="202">
        <v>336</v>
      </c>
      <c r="V18" s="203">
        <v>541</v>
      </c>
      <c r="W18" s="119">
        <v>372</v>
      </c>
      <c r="X18" s="119">
        <v>343</v>
      </c>
      <c r="Y18" s="119">
        <v>672</v>
      </c>
      <c r="Z18" s="185">
        <v>499</v>
      </c>
      <c r="AA18" s="119">
        <v>657</v>
      </c>
      <c r="AB18" s="119">
        <v>764</v>
      </c>
      <c r="AC18" s="119">
        <v>918</v>
      </c>
      <c r="AD18" s="119"/>
    </row>
    <row r="19" spans="1:30" s="23" customFormat="1" ht="19.5" customHeight="1" x14ac:dyDescent="0.2">
      <c r="A19" s="25" t="s">
        <v>27</v>
      </c>
      <c r="B19" s="26"/>
      <c r="C19" s="27"/>
      <c r="D19" s="6">
        <v>5530</v>
      </c>
      <c r="E19" s="6">
        <v>5808</v>
      </c>
      <c r="F19" s="6">
        <v>7065</v>
      </c>
      <c r="G19" s="6">
        <v>7817</v>
      </c>
      <c r="H19" s="6">
        <v>9629</v>
      </c>
      <c r="I19" s="6">
        <v>11136</v>
      </c>
      <c r="J19" s="6">
        <v>10150</v>
      </c>
      <c r="K19" s="6">
        <v>9335</v>
      </c>
      <c r="L19" s="6">
        <v>10286</v>
      </c>
      <c r="M19" s="6">
        <v>10503</v>
      </c>
      <c r="N19" s="6">
        <v>8533</v>
      </c>
      <c r="O19" s="6">
        <v>5962</v>
      </c>
      <c r="P19" s="6">
        <v>6949</v>
      </c>
      <c r="Q19" s="6">
        <v>6890</v>
      </c>
      <c r="R19" s="149">
        <v>7438</v>
      </c>
      <c r="S19" s="6">
        <v>7036</v>
      </c>
      <c r="T19" s="119">
        <v>5937</v>
      </c>
      <c r="U19" s="202">
        <v>5482</v>
      </c>
      <c r="V19" s="203">
        <v>5839</v>
      </c>
      <c r="W19" s="119">
        <v>7009</v>
      </c>
      <c r="X19" s="119">
        <v>7928</v>
      </c>
      <c r="Y19" s="119">
        <v>8755</v>
      </c>
      <c r="Z19" s="185">
        <v>10243</v>
      </c>
      <c r="AA19" s="119">
        <v>9202</v>
      </c>
      <c r="AB19" s="119">
        <v>9094</v>
      </c>
      <c r="AC19" s="119">
        <v>9517</v>
      </c>
      <c r="AD19" s="119"/>
    </row>
    <row r="20" spans="1:30" s="23" customFormat="1" ht="20.100000000000001" customHeight="1" x14ac:dyDescent="0.2">
      <c r="A20" s="25" t="s">
        <v>28</v>
      </c>
      <c r="B20" s="26"/>
      <c r="C20" s="27"/>
      <c r="D20" s="6">
        <v>15473</v>
      </c>
      <c r="E20" s="6">
        <v>22494</v>
      </c>
      <c r="F20" s="6">
        <v>26033</v>
      </c>
      <c r="G20" s="6">
        <v>27317</v>
      </c>
      <c r="H20" s="6">
        <v>29676</v>
      </c>
      <c r="I20" s="6">
        <v>16073</v>
      </c>
      <c r="J20" s="6">
        <v>21659</v>
      </c>
      <c r="K20" s="6">
        <v>23645</v>
      </c>
      <c r="L20" s="6">
        <v>26105</v>
      </c>
      <c r="M20" s="6">
        <v>26195</v>
      </c>
      <c r="N20" s="6">
        <v>20973</v>
      </c>
      <c r="O20" s="6">
        <v>16676</v>
      </c>
      <c r="P20" s="6">
        <v>21129</v>
      </c>
      <c r="Q20" s="6">
        <v>16857</v>
      </c>
      <c r="R20" s="149">
        <v>15646</v>
      </c>
      <c r="S20" s="6">
        <v>15111</v>
      </c>
      <c r="T20" s="119">
        <v>17919</v>
      </c>
      <c r="U20" s="202">
        <v>17827</v>
      </c>
      <c r="V20" s="203">
        <v>16881</v>
      </c>
      <c r="W20" s="119">
        <v>17771</v>
      </c>
      <c r="X20" s="119">
        <v>17958</v>
      </c>
      <c r="Y20" s="119">
        <v>22509</v>
      </c>
      <c r="Z20" s="185">
        <v>19441</v>
      </c>
      <c r="AA20" s="119">
        <v>19346</v>
      </c>
      <c r="AB20" s="119">
        <v>22160</v>
      </c>
      <c r="AC20" s="119">
        <v>26393</v>
      </c>
      <c r="AD20" s="119"/>
    </row>
    <row r="21" spans="1:30" s="23" customFormat="1" ht="20.100000000000001" customHeight="1" x14ac:dyDescent="0.2">
      <c r="A21" s="25" t="s">
        <v>29</v>
      </c>
      <c r="B21" s="26"/>
      <c r="C21" s="27"/>
      <c r="D21" s="6">
        <v>392</v>
      </c>
      <c r="E21" s="6">
        <v>602</v>
      </c>
      <c r="F21" s="6">
        <v>1115</v>
      </c>
      <c r="G21" s="6">
        <v>1795</v>
      </c>
      <c r="H21" s="6">
        <v>1906</v>
      </c>
      <c r="I21" s="6">
        <v>1049</v>
      </c>
      <c r="J21" s="6">
        <v>664</v>
      </c>
      <c r="K21" s="6">
        <v>908</v>
      </c>
      <c r="L21" s="6">
        <v>1023</v>
      </c>
      <c r="M21" s="6">
        <v>1398</v>
      </c>
      <c r="N21" s="6">
        <v>1332</v>
      </c>
      <c r="O21" s="6">
        <v>1161</v>
      </c>
      <c r="P21" s="6">
        <v>1302</v>
      </c>
      <c r="Q21" s="6">
        <v>1214</v>
      </c>
      <c r="R21" s="149">
        <v>1000</v>
      </c>
      <c r="S21" s="6">
        <v>784</v>
      </c>
      <c r="T21" s="119">
        <v>774</v>
      </c>
      <c r="U21" s="202">
        <v>697</v>
      </c>
      <c r="V21" s="203">
        <v>761</v>
      </c>
      <c r="W21" s="119">
        <v>786</v>
      </c>
      <c r="X21" s="119">
        <v>979</v>
      </c>
      <c r="Y21" s="119">
        <v>1402</v>
      </c>
      <c r="Z21" s="185">
        <v>990</v>
      </c>
      <c r="AA21" s="119">
        <v>713</v>
      </c>
      <c r="AB21" s="119">
        <v>780</v>
      </c>
      <c r="AC21" s="119">
        <v>1018</v>
      </c>
      <c r="AD21" s="119"/>
    </row>
    <row r="22" spans="1:30" s="23" customFormat="1" ht="20.100000000000001" customHeight="1" x14ac:dyDescent="0.2">
      <c r="A22" s="120" t="s">
        <v>30</v>
      </c>
      <c r="B22" s="26"/>
      <c r="C22" s="27"/>
      <c r="D22" s="6">
        <v>1457</v>
      </c>
      <c r="E22" s="6">
        <v>1309</v>
      </c>
      <c r="F22" s="6">
        <v>1075</v>
      </c>
      <c r="G22" s="6">
        <v>1628</v>
      </c>
      <c r="H22" s="6">
        <v>1596</v>
      </c>
      <c r="I22" s="6">
        <v>1144</v>
      </c>
      <c r="J22" s="6">
        <v>926</v>
      </c>
      <c r="K22" s="6">
        <v>774</v>
      </c>
      <c r="L22" s="6">
        <v>983</v>
      </c>
      <c r="M22" s="6">
        <v>1138</v>
      </c>
      <c r="N22" s="6">
        <v>1135</v>
      </c>
      <c r="O22" s="6">
        <v>1291</v>
      </c>
      <c r="P22" s="6">
        <v>936</v>
      </c>
      <c r="Q22" s="6">
        <v>345</v>
      </c>
      <c r="R22" s="149">
        <v>233</v>
      </c>
      <c r="S22" s="6">
        <v>257</v>
      </c>
      <c r="T22" s="119">
        <v>263</v>
      </c>
      <c r="U22" s="202">
        <v>225</v>
      </c>
      <c r="V22" s="203">
        <v>676</v>
      </c>
      <c r="W22" s="119">
        <v>514</v>
      </c>
      <c r="X22" s="119">
        <v>414</v>
      </c>
      <c r="Y22" s="119">
        <v>448</v>
      </c>
      <c r="Z22" s="185">
        <v>210</v>
      </c>
      <c r="AA22" s="119">
        <v>731</v>
      </c>
      <c r="AB22" s="119">
        <v>1204</v>
      </c>
      <c r="AC22" s="119">
        <v>1334</v>
      </c>
      <c r="AD22" s="119"/>
    </row>
    <row r="23" spans="1:30" s="23" customFormat="1" ht="20.100000000000001" customHeight="1" x14ac:dyDescent="0.2">
      <c r="A23" s="120" t="s">
        <v>31</v>
      </c>
      <c r="B23" s="26"/>
      <c r="C23" s="27"/>
      <c r="D23" s="6">
        <v>222</v>
      </c>
      <c r="E23" s="6">
        <v>730</v>
      </c>
      <c r="F23" s="6">
        <v>988</v>
      </c>
      <c r="G23" s="6">
        <v>1813</v>
      </c>
      <c r="H23" s="6">
        <v>2123</v>
      </c>
      <c r="I23" s="6">
        <v>2408</v>
      </c>
      <c r="J23" s="6">
        <v>2864</v>
      </c>
      <c r="K23" s="6">
        <v>3292</v>
      </c>
      <c r="L23" s="6">
        <v>2747</v>
      </c>
      <c r="M23" s="6">
        <v>2869</v>
      </c>
      <c r="N23" s="6">
        <v>3932</v>
      </c>
      <c r="O23" s="6">
        <v>5056</v>
      </c>
      <c r="P23" s="6">
        <v>6167</v>
      </c>
      <c r="Q23" s="6">
        <v>2865</v>
      </c>
      <c r="R23" s="149">
        <v>1356</v>
      </c>
      <c r="S23" s="6">
        <v>2494</v>
      </c>
      <c r="T23" s="119">
        <v>3792</v>
      </c>
      <c r="U23" s="202">
        <v>4232</v>
      </c>
      <c r="V23" s="203">
        <v>4386</v>
      </c>
      <c r="W23" s="119">
        <v>3676</v>
      </c>
      <c r="X23" s="119">
        <v>5911</v>
      </c>
      <c r="Y23" s="119">
        <v>7700</v>
      </c>
      <c r="Z23" s="185">
        <v>7255</v>
      </c>
      <c r="AA23" s="119">
        <v>6971</v>
      </c>
      <c r="AB23" s="119">
        <v>6562</v>
      </c>
      <c r="AC23" s="119">
        <v>6959</v>
      </c>
      <c r="AD23" s="119"/>
    </row>
    <row r="24" spans="1:30" s="23" customFormat="1" ht="20.100000000000001" customHeight="1" x14ac:dyDescent="0.2">
      <c r="A24" s="25" t="s">
        <v>33</v>
      </c>
      <c r="B24" s="26"/>
      <c r="C24" s="27"/>
      <c r="D24" s="6">
        <v>30639</v>
      </c>
      <c r="E24" s="6">
        <v>38410</v>
      </c>
      <c r="F24" s="6">
        <v>30585</v>
      </c>
      <c r="G24" s="6">
        <v>25970</v>
      </c>
      <c r="H24" s="6">
        <v>27003</v>
      </c>
      <c r="I24" s="6">
        <v>25638</v>
      </c>
      <c r="J24" s="6">
        <v>34870</v>
      </c>
      <c r="K24" s="6">
        <v>36562</v>
      </c>
      <c r="L24" s="6">
        <v>36393</v>
      </c>
      <c r="M24" s="6">
        <v>37558</v>
      </c>
      <c r="N24" s="6">
        <v>30349</v>
      </c>
      <c r="O24" s="6">
        <v>29484</v>
      </c>
      <c r="P24" s="6">
        <v>34530</v>
      </c>
      <c r="Q24" s="6">
        <v>23507</v>
      </c>
      <c r="R24" s="149">
        <v>25947</v>
      </c>
      <c r="S24" s="6">
        <v>34845</v>
      </c>
      <c r="T24" s="119">
        <v>38056</v>
      </c>
      <c r="U24" s="202">
        <v>35581</v>
      </c>
      <c r="V24" s="203">
        <v>26525</v>
      </c>
      <c r="W24" s="119">
        <v>24074</v>
      </c>
      <c r="X24" s="119">
        <v>25956</v>
      </c>
      <c r="Y24" s="119">
        <v>34583</v>
      </c>
      <c r="Z24" s="185">
        <v>43012</v>
      </c>
      <c r="AA24" s="119">
        <v>43777</v>
      </c>
      <c r="AB24" s="119">
        <v>48184</v>
      </c>
      <c r="AC24" s="119">
        <v>51726</v>
      </c>
      <c r="AD24" s="119"/>
    </row>
    <row r="25" spans="1:30" s="23" customFormat="1" ht="20.100000000000001" customHeight="1" x14ac:dyDescent="0.2">
      <c r="A25" s="25" t="s">
        <v>60</v>
      </c>
      <c r="B25" s="26"/>
      <c r="C25" s="27"/>
      <c r="D25" s="6">
        <v>933</v>
      </c>
      <c r="E25" s="6">
        <v>1681</v>
      </c>
      <c r="F25" s="6">
        <v>1523</v>
      </c>
      <c r="G25" s="6">
        <v>840</v>
      </c>
      <c r="H25" s="6">
        <v>373</v>
      </c>
      <c r="I25" s="6">
        <v>246</v>
      </c>
      <c r="J25" s="6">
        <v>667</v>
      </c>
      <c r="K25" s="6">
        <v>1037</v>
      </c>
      <c r="L25" s="6">
        <v>1438</v>
      </c>
      <c r="M25" s="6">
        <v>1403</v>
      </c>
      <c r="N25" s="6">
        <v>1311</v>
      </c>
      <c r="O25" s="6">
        <v>1004</v>
      </c>
      <c r="P25" s="6">
        <v>828</v>
      </c>
      <c r="Q25" s="6">
        <v>438</v>
      </c>
      <c r="R25" s="149">
        <v>397</v>
      </c>
      <c r="S25" s="6">
        <v>697</v>
      </c>
      <c r="T25" s="119">
        <v>774</v>
      </c>
      <c r="U25" s="202">
        <v>913</v>
      </c>
      <c r="V25" s="203">
        <v>694</v>
      </c>
      <c r="W25" s="119">
        <v>302</v>
      </c>
      <c r="X25" s="119">
        <v>352</v>
      </c>
      <c r="Y25" s="119">
        <v>424</v>
      </c>
      <c r="Z25" s="185">
        <v>484</v>
      </c>
      <c r="AA25" s="119">
        <v>741</v>
      </c>
      <c r="AB25" s="119">
        <v>758</v>
      </c>
      <c r="AC25" s="119">
        <v>528</v>
      </c>
      <c r="AD25" s="119"/>
    </row>
    <row r="26" spans="1:30" s="23" customFormat="1" ht="20.100000000000001" customHeight="1" x14ac:dyDescent="0.2">
      <c r="A26" s="25" t="s">
        <v>34</v>
      </c>
      <c r="B26" s="26"/>
      <c r="C26" s="27"/>
      <c r="D26" s="6">
        <v>3759</v>
      </c>
      <c r="E26" s="6">
        <v>5484</v>
      </c>
      <c r="F26" s="6">
        <v>4104</v>
      </c>
      <c r="G26" s="6">
        <v>2816</v>
      </c>
      <c r="H26" s="6">
        <v>1970</v>
      </c>
      <c r="I26" s="6">
        <v>1596</v>
      </c>
      <c r="J26" s="6">
        <v>2315</v>
      </c>
      <c r="K26" s="6">
        <v>2642</v>
      </c>
      <c r="L26" s="6">
        <v>2612</v>
      </c>
      <c r="M26" s="6">
        <v>2275</v>
      </c>
      <c r="N26" s="6">
        <v>1624</v>
      </c>
      <c r="O26" s="6">
        <v>1481</v>
      </c>
      <c r="P26" s="6">
        <v>1458</v>
      </c>
      <c r="Q26" s="6">
        <v>1314</v>
      </c>
      <c r="R26" s="149">
        <v>1389</v>
      </c>
      <c r="S26" s="6">
        <v>1443</v>
      </c>
      <c r="T26" s="119">
        <v>1283</v>
      </c>
      <c r="U26" s="202">
        <v>1376</v>
      </c>
      <c r="V26" s="203">
        <v>1102</v>
      </c>
      <c r="W26" s="119">
        <v>818</v>
      </c>
      <c r="X26" s="119">
        <v>1740</v>
      </c>
      <c r="Y26" s="119">
        <v>1337</v>
      </c>
      <c r="Z26" s="185">
        <v>1867</v>
      </c>
      <c r="AA26" s="119">
        <v>2171</v>
      </c>
      <c r="AB26" s="119">
        <v>2502</v>
      </c>
      <c r="AC26" s="119">
        <v>2192</v>
      </c>
      <c r="AD26" s="119"/>
    </row>
    <row r="27" spans="1:30" s="23" customFormat="1" ht="20.100000000000001" customHeight="1" x14ac:dyDescent="0.2">
      <c r="A27" s="25" t="s">
        <v>35</v>
      </c>
      <c r="B27" s="26"/>
      <c r="C27" s="27"/>
      <c r="D27" s="6">
        <v>280</v>
      </c>
      <c r="E27" s="6">
        <v>424</v>
      </c>
      <c r="F27" s="6">
        <v>437</v>
      </c>
      <c r="G27" s="6">
        <v>762</v>
      </c>
      <c r="H27" s="6">
        <v>773</v>
      </c>
      <c r="I27" s="6">
        <v>729</v>
      </c>
      <c r="J27" s="6">
        <v>521</v>
      </c>
      <c r="K27" s="6">
        <f>SUM(165+184+281)</f>
        <v>630</v>
      </c>
      <c r="L27" s="6">
        <v>722</v>
      </c>
      <c r="M27" s="6">
        <v>935</v>
      </c>
      <c r="N27" s="6">
        <v>1307</v>
      </c>
      <c r="O27" s="6">
        <v>1267</v>
      </c>
      <c r="P27" s="6">
        <v>939</v>
      </c>
      <c r="Q27" s="6">
        <v>719</v>
      </c>
      <c r="R27" s="149">
        <v>993</v>
      </c>
      <c r="S27" s="6">
        <v>865</v>
      </c>
      <c r="T27" s="119">
        <v>1219.5</v>
      </c>
      <c r="U27" s="202">
        <v>1456</v>
      </c>
      <c r="V27" s="203">
        <v>1368</v>
      </c>
      <c r="W27" s="119">
        <v>966</v>
      </c>
      <c r="X27" s="119">
        <v>721</v>
      </c>
      <c r="Y27" s="119">
        <v>1005</v>
      </c>
      <c r="Z27" s="185">
        <v>1429</v>
      </c>
      <c r="AA27" s="119">
        <v>2049</v>
      </c>
      <c r="AB27" s="119">
        <v>1595</v>
      </c>
      <c r="AC27" s="119">
        <v>1362</v>
      </c>
      <c r="AD27" s="119"/>
    </row>
    <row r="28" spans="1:30" s="23" customFormat="1" ht="20.100000000000001" customHeight="1" x14ac:dyDescent="0.2">
      <c r="A28" s="76" t="s">
        <v>36</v>
      </c>
      <c r="B28" s="77"/>
      <c r="C28" s="78"/>
      <c r="D28" s="79">
        <v>61608</v>
      </c>
      <c r="E28" s="79">
        <v>79729</v>
      </c>
      <c r="F28" s="79">
        <v>75901</v>
      </c>
      <c r="G28" s="79">
        <v>74330</v>
      </c>
      <c r="H28" s="79">
        <v>78627</v>
      </c>
      <c r="I28" s="79">
        <v>64533</v>
      </c>
      <c r="J28" s="79">
        <f t="shared" ref="J28:Q28" si="4">SUM(J17:J27)</f>
        <v>79294</v>
      </c>
      <c r="K28" s="79">
        <f t="shared" si="4"/>
        <v>83175</v>
      </c>
      <c r="L28" s="79">
        <f t="shared" si="4"/>
        <v>85711</v>
      </c>
      <c r="M28" s="79">
        <f t="shared" si="4"/>
        <v>87038</v>
      </c>
      <c r="N28" s="79">
        <f t="shared" si="4"/>
        <v>74200</v>
      </c>
      <c r="O28" s="79">
        <f t="shared" si="4"/>
        <v>68295</v>
      </c>
      <c r="P28" s="79">
        <f t="shared" si="4"/>
        <v>79803</v>
      </c>
      <c r="Q28" s="79">
        <f t="shared" si="4"/>
        <v>57006</v>
      </c>
      <c r="R28" s="79">
        <f t="shared" ref="R28:Z28" si="5">SUM(R17:R27)</f>
        <v>55933</v>
      </c>
      <c r="S28" s="79">
        <f t="shared" si="5"/>
        <v>64859</v>
      </c>
      <c r="T28" s="79">
        <f t="shared" si="5"/>
        <v>71679.5</v>
      </c>
      <c r="U28" s="79">
        <f t="shared" si="5"/>
        <v>70223</v>
      </c>
      <c r="V28" s="79">
        <f t="shared" si="5"/>
        <v>61588</v>
      </c>
      <c r="W28" s="79">
        <f t="shared" si="5"/>
        <v>60550</v>
      </c>
      <c r="X28" s="79">
        <f t="shared" si="5"/>
        <v>67200</v>
      </c>
      <c r="Y28" s="79">
        <f t="shared" si="5"/>
        <v>84123</v>
      </c>
      <c r="Z28" s="79">
        <f t="shared" si="5"/>
        <v>91058</v>
      </c>
      <c r="AA28" s="79">
        <f>SUM(AA17:AA27)</f>
        <v>91020</v>
      </c>
      <c r="AB28" s="79">
        <f t="shared" ref="AB28:AC28" si="6">SUM(AB17:AB27)</f>
        <v>96824</v>
      </c>
      <c r="AC28" s="79">
        <f t="shared" si="6"/>
        <v>105423</v>
      </c>
      <c r="AD28" s="79">
        <f t="shared" ref="AD28" si="7">SUM(AD17:AD27)</f>
        <v>0</v>
      </c>
    </row>
    <row r="29" spans="1:30" s="23" customFormat="1" ht="20.100000000000001" customHeight="1" x14ac:dyDescent="0.2">
      <c r="A29" s="25" t="s">
        <v>37</v>
      </c>
      <c r="B29" s="26"/>
      <c r="C29" s="27"/>
      <c r="D29" s="6">
        <v>552</v>
      </c>
      <c r="E29" s="6">
        <v>677</v>
      </c>
      <c r="F29" s="6">
        <v>823</v>
      </c>
      <c r="G29" s="6">
        <v>912</v>
      </c>
      <c r="H29" s="6">
        <v>435</v>
      </c>
      <c r="I29" s="6">
        <v>387</v>
      </c>
      <c r="J29" s="6">
        <v>503</v>
      </c>
      <c r="K29" s="6">
        <v>438</v>
      </c>
      <c r="L29" s="6">
        <v>327</v>
      </c>
      <c r="M29" s="6">
        <v>424</v>
      </c>
      <c r="N29" s="6">
        <v>403</v>
      </c>
      <c r="O29" s="6">
        <v>524</v>
      </c>
      <c r="P29" s="6">
        <v>362</v>
      </c>
      <c r="Q29" s="6">
        <v>616</v>
      </c>
      <c r="R29" s="149">
        <v>320</v>
      </c>
      <c r="S29" s="6">
        <v>310</v>
      </c>
      <c r="T29" s="119">
        <v>435</v>
      </c>
      <c r="U29" s="202">
        <v>463</v>
      </c>
      <c r="V29" s="119">
        <v>299</v>
      </c>
      <c r="W29" s="119">
        <v>139</v>
      </c>
      <c r="X29" s="119">
        <v>59</v>
      </c>
      <c r="Y29" s="119">
        <v>247</v>
      </c>
      <c r="Z29" s="185">
        <v>114</v>
      </c>
      <c r="AA29" s="119">
        <v>475</v>
      </c>
      <c r="AB29" s="119">
        <v>392</v>
      </c>
      <c r="AC29" s="119">
        <v>448</v>
      </c>
      <c r="AD29" s="119"/>
    </row>
    <row r="30" spans="1:30" s="23" customFormat="1" ht="20.100000000000001" customHeight="1" x14ac:dyDescent="0.2">
      <c r="A30" s="32" t="s">
        <v>38</v>
      </c>
      <c r="B30" s="33"/>
      <c r="C30" s="34"/>
      <c r="D30" s="6">
        <v>2254</v>
      </c>
      <c r="E30" s="6">
        <v>3158</v>
      </c>
      <c r="F30" s="6">
        <v>3383</v>
      </c>
      <c r="G30" s="6">
        <v>3516</v>
      </c>
      <c r="H30" s="6">
        <v>3718</v>
      </c>
      <c r="I30" s="6">
        <v>3466</v>
      </c>
      <c r="J30" s="6">
        <v>3734</v>
      </c>
      <c r="K30" s="6">
        <v>3866</v>
      </c>
      <c r="L30" s="6">
        <v>4757</v>
      </c>
      <c r="M30" s="6">
        <v>5541</v>
      </c>
      <c r="N30" s="6">
        <v>4300</v>
      </c>
      <c r="O30" s="6">
        <v>3889</v>
      </c>
      <c r="P30" s="6">
        <v>3938</v>
      </c>
      <c r="Q30" s="6">
        <v>3779</v>
      </c>
      <c r="R30" s="149">
        <v>3398</v>
      </c>
      <c r="S30" s="6">
        <v>3129</v>
      </c>
      <c r="T30" s="119">
        <v>3699</v>
      </c>
      <c r="U30" s="202">
        <v>2724</v>
      </c>
      <c r="V30" s="119">
        <v>3403</v>
      </c>
      <c r="W30" s="119">
        <v>3619</v>
      </c>
      <c r="X30" s="119">
        <v>3899</v>
      </c>
      <c r="Y30" s="119">
        <v>4375</v>
      </c>
      <c r="Z30" s="185">
        <v>3474</v>
      </c>
      <c r="AA30" s="119">
        <v>5025</v>
      </c>
      <c r="AB30" s="119">
        <v>5672</v>
      </c>
      <c r="AC30" s="119">
        <v>4984</v>
      </c>
      <c r="AD30" s="119"/>
    </row>
    <row r="31" spans="1:30" s="23" customFormat="1" ht="20.100000000000001" customHeight="1" x14ac:dyDescent="0.2">
      <c r="A31" s="25" t="s">
        <v>39</v>
      </c>
      <c r="B31" s="26"/>
      <c r="C31" s="27"/>
      <c r="D31" s="6"/>
      <c r="E31" s="6"/>
      <c r="F31" s="6"/>
      <c r="G31" s="6">
        <v>2</v>
      </c>
      <c r="H31" s="6">
        <v>2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5</v>
      </c>
      <c r="Q31" s="6">
        <v>3</v>
      </c>
      <c r="R31" s="149">
        <v>18</v>
      </c>
      <c r="S31" s="6">
        <v>14</v>
      </c>
      <c r="T31" s="119">
        <v>15</v>
      </c>
      <c r="U31" s="202">
        <v>21</v>
      </c>
      <c r="V31" s="119">
        <v>12</v>
      </c>
      <c r="W31" s="119">
        <v>0</v>
      </c>
      <c r="X31" s="119">
        <v>0</v>
      </c>
      <c r="Y31" s="119">
        <v>4.5</v>
      </c>
      <c r="Z31" s="185">
        <v>0</v>
      </c>
      <c r="AA31" s="119">
        <v>0</v>
      </c>
      <c r="AB31" s="119">
        <v>0</v>
      </c>
      <c r="AC31" s="119">
        <v>13</v>
      </c>
      <c r="AD31" s="119"/>
    </row>
    <row r="32" spans="1:30" s="23" customFormat="1" ht="20.100000000000001" customHeight="1" x14ac:dyDescent="0.2">
      <c r="A32" s="32" t="s">
        <v>40</v>
      </c>
      <c r="B32" s="26"/>
      <c r="C32" s="27"/>
      <c r="D32" s="6">
        <v>7</v>
      </c>
      <c r="E32" s="6">
        <v>6</v>
      </c>
      <c r="F32" s="6">
        <v>4</v>
      </c>
      <c r="G32" s="6">
        <v>0</v>
      </c>
      <c r="H32" s="6">
        <v>0</v>
      </c>
      <c r="I32" s="6">
        <v>0</v>
      </c>
      <c r="J32" s="6">
        <v>0</v>
      </c>
      <c r="K32" s="6">
        <v>25</v>
      </c>
      <c r="L32" s="6">
        <v>0</v>
      </c>
      <c r="M32" s="6">
        <v>12</v>
      </c>
      <c r="N32" s="6">
        <v>7</v>
      </c>
      <c r="O32" s="6">
        <v>0</v>
      </c>
      <c r="P32" s="6">
        <v>0</v>
      </c>
      <c r="Q32" s="6">
        <v>30</v>
      </c>
      <c r="R32" s="149">
        <v>19</v>
      </c>
      <c r="S32" s="6">
        <v>26</v>
      </c>
      <c r="T32" s="119">
        <v>29</v>
      </c>
      <c r="U32" s="202">
        <v>18</v>
      </c>
      <c r="V32" s="119">
        <v>20</v>
      </c>
      <c r="W32" s="119"/>
      <c r="X32" s="119">
        <v>0</v>
      </c>
      <c r="Y32" s="119"/>
      <c r="Z32" s="185"/>
      <c r="AA32" s="119">
        <v>0</v>
      </c>
      <c r="AB32" s="119">
        <v>0</v>
      </c>
      <c r="AC32" s="119">
        <v>0</v>
      </c>
      <c r="AD32" s="119"/>
    </row>
    <row r="33" spans="1:30" s="23" customFormat="1" ht="20.100000000000001" customHeight="1" x14ac:dyDescent="0.2">
      <c r="A33" s="25" t="s">
        <v>41</v>
      </c>
      <c r="B33" s="26"/>
      <c r="C33" s="27"/>
      <c r="D33" s="6">
        <v>51</v>
      </c>
      <c r="E33" s="6">
        <v>86</v>
      </c>
      <c r="F33" s="6">
        <v>34</v>
      </c>
      <c r="G33" s="6">
        <v>87</v>
      </c>
      <c r="H33" s="6">
        <v>291</v>
      </c>
      <c r="I33" s="6">
        <v>445</v>
      </c>
      <c r="J33" s="6">
        <v>256</v>
      </c>
      <c r="K33" s="6">
        <v>172</v>
      </c>
      <c r="L33" s="6">
        <v>294</v>
      </c>
      <c r="M33" s="6">
        <v>342</v>
      </c>
      <c r="N33" s="6">
        <v>63</v>
      </c>
      <c r="O33" s="6">
        <v>61</v>
      </c>
      <c r="P33" s="6">
        <v>147</v>
      </c>
      <c r="Q33" s="6">
        <v>260</v>
      </c>
      <c r="R33" s="149">
        <v>302</v>
      </c>
      <c r="S33" s="6">
        <v>370</v>
      </c>
      <c r="T33" s="119">
        <v>551</v>
      </c>
      <c r="U33" s="202">
        <v>1028</v>
      </c>
      <c r="V33" s="119">
        <v>1311</v>
      </c>
      <c r="W33" s="119"/>
      <c r="X33" s="119">
        <v>1925</v>
      </c>
      <c r="Y33" s="119">
        <v>2786</v>
      </c>
      <c r="Z33" s="185">
        <v>2995</v>
      </c>
      <c r="AA33" s="119">
        <v>2939</v>
      </c>
      <c r="AB33" s="119">
        <v>2674</v>
      </c>
      <c r="AC33" s="119">
        <v>2865</v>
      </c>
      <c r="AD33" s="119"/>
    </row>
    <row r="34" spans="1:30" s="23" customFormat="1" ht="20.100000000000001" customHeight="1" x14ac:dyDescent="0.2">
      <c r="A34" s="25" t="s">
        <v>42</v>
      </c>
      <c r="B34" s="26"/>
      <c r="C34" s="27"/>
      <c r="D34" s="6">
        <v>14</v>
      </c>
      <c r="E34" s="6">
        <v>68</v>
      </c>
      <c r="F34" s="6">
        <v>87</v>
      </c>
      <c r="G34" s="6">
        <v>22</v>
      </c>
      <c r="H34" s="6">
        <v>98</v>
      </c>
      <c r="I34" s="6">
        <v>460</v>
      </c>
      <c r="J34" s="6">
        <v>625</v>
      </c>
      <c r="K34" s="6">
        <v>647</v>
      </c>
      <c r="L34" s="6">
        <v>188</v>
      </c>
      <c r="M34" s="6">
        <v>77</v>
      </c>
      <c r="N34" s="6">
        <v>128</v>
      </c>
      <c r="O34" s="6">
        <v>151</v>
      </c>
      <c r="P34" s="6">
        <v>108</v>
      </c>
      <c r="Q34" s="6"/>
      <c r="R34" s="149">
        <v>123</v>
      </c>
      <c r="S34" s="6">
        <v>90</v>
      </c>
      <c r="T34" s="119">
        <v>63</v>
      </c>
      <c r="U34" s="202">
        <v>27</v>
      </c>
      <c r="V34" s="119">
        <v>46</v>
      </c>
      <c r="W34" s="119"/>
      <c r="X34" s="119">
        <v>42</v>
      </c>
      <c r="Y34" s="119">
        <v>52</v>
      </c>
      <c r="Z34" s="185">
        <v>128</v>
      </c>
      <c r="AA34" s="119">
        <v>159</v>
      </c>
      <c r="AB34" s="119">
        <v>409</v>
      </c>
      <c r="AC34" s="119">
        <v>641</v>
      </c>
      <c r="AD34" s="119"/>
    </row>
    <row r="35" spans="1:30" s="23" customFormat="1" ht="20.100000000000001" customHeight="1" x14ac:dyDescent="0.2">
      <c r="A35" s="25" t="s">
        <v>43</v>
      </c>
      <c r="B35" s="26"/>
      <c r="C35" s="27"/>
      <c r="D35" s="6">
        <v>11373</v>
      </c>
      <c r="E35" s="6">
        <v>15337</v>
      </c>
      <c r="F35" s="6">
        <v>11113</v>
      </c>
      <c r="G35" s="6">
        <v>7927</v>
      </c>
      <c r="H35" s="6">
        <v>8671</v>
      </c>
      <c r="I35" s="6">
        <v>8952</v>
      </c>
      <c r="J35" s="6">
        <v>6623</v>
      </c>
      <c r="K35" s="6">
        <v>5634</v>
      </c>
      <c r="L35" s="6">
        <v>4541</v>
      </c>
      <c r="M35" s="6">
        <v>3050</v>
      </c>
      <c r="N35" s="6">
        <v>1479</v>
      </c>
      <c r="O35" s="6">
        <v>1207</v>
      </c>
      <c r="P35" s="6"/>
      <c r="Q35" s="6">
        <v>2318</v>
      </c>
      <c r="R35" s="149">
        <v>1362</v>
      </c>
      <c r="S35" s="6">
        <v>923</v>
      </c>
      <c r="T35" s="119">
        <v>1220</v>
      </c>
      <c r="U35" s="202">
        <v>1620</v>
      </c>
      <c r="V35" s="119">
        <v>1736</v>
      </c>
      <c r="W35" s="119"/>
      <c r="X35" s="119">
        <v>2275</v>
      </c>
      <c r="Y35" s="119">
        <v>2358</v>
      </c>
      <c r="Z35" s="185">
        <v>2696</v>
      </c>
      <c r="AA35" s="119">
        <v>2064</v>
      </c>
      <c r="AB35" s="119">
        <v>2351</v>
      </c>
      <c r="AC35" s="119">
        <v>2713</v>
      </c>
      <c r="AD35" s="119"/>
    </row>
    <row r="36" spans="1:30" s="23" customFormat="1" ht="20.100000000000001" customHeight="1" x14ac:dyDescent="0.2">
      <c r="A36" s="25" t="s">
        <v>44</v>
      </c>
      <c r="B36" s="26"/>
      <c r="C36" s="27"/>
      <c r="D36" s="6">
        <v>42</v>
      </c>
      <c r="E36" s="6">
        <v>55</v>
      </c>
      <c r="F36" s="6">
        <v>179</v>
      </c>
      <c r="G36" s="6">
        <v>173</v>
      </c>
      <c r="H36" s="6">
        <v>2</v>
      </c>
      <c r="I36" s="6">
        <v>13</v>
      </c>
      <c r="J36" s="6">
        <v>56</v>
      </c>
      <c r="K36" s="6">
        <v>69</v>
      </c>
      <c r="L36" s="6">
        <v>100</v>
      </c>
      <c r="M36" s="6">
        <v>124</v>
      </c>
      <c r="N36" s="6">
        <v>98</v>
      </c>
      <c r="O36" s="6"/>
      <c r="P36" s="6">
        <v>100</v>
      </c>
      <c r="Q36" s="6">
        <v>88</v>
      </c>
      <c r="R36" s="149">
        <v>24</v>
      </c>
      <c r="S36" s="6">
        <v>164</v>
      </c>
      <c r="T36" s="119">
        <v>188</v>
      </c>
      <c r="U36" s="202"/>
      <c r="V36" s="119"/>
      <c r="W36" s="119"/>
      <c r="X36" s="119"/>
      <c r="Y36" s="6"/>
      <c r="Z36" s="185"/>
      <c r="AA36" s="119">
        <v>50</v>
      </c>
      <c r="AB36" s="119"/>
      <c r="AC36" s="119">
        <v>170</v>
      </c>
      <c r="AD36" s="119"/>
    </row>
    <row r="37" spans="1:30" s="23" customFormat="1" ht="20.100000000000001" customHeight="1" x14ac:dyDescent="0.2">
      <c r="A37" s="76" t="s">
        <v>45</v>
      </c>
      <c r="B37" s="77"/>
      <c r="C37" s="78"/>
      <c r="D37" s="79">
        <v>14293</v>
      </c>
      <c r="E37" s="79">
        <v>19387</v>
      </c>
      <c r="F37" s="79">
        <v>15623</v>
      </c>
      <c r="G37" s="79">
        <v>12639</v>
      </c>
      <c r="H37" s="79">
        <v>13217</v>
      </c>
      <c r="I37" s="79">
        <v>13663</v>
      </c>
      <c r="J37" s="79">
        <f t="shared" ref="J37:Q37" si="8">SUM(J29:J36)</f>
        <v>11797</v>
      </c>
      <c r="K37" s="79">
        <f t="shared" si="8"/>
        <v>10851</v>
      </c>
      <c r="L37" s="79">
        <f t="shared" si="8"/>
        <v>10207</v>
      </c>
      <c r="M37" s="79">
        <f t="shared" si="8"/>
        <v>9570</v>
      </c>
      <c r="N37" s="79">
        <f t="shared" si="8"/>
        <v>6478</v>
      </c>
      <c r="O37" s="79">
        <f t="shared" si="8"/>
        <v>5832</v>
      </c>
      <c r="P37" s="79">
        <f t="shared" si="8"/>
        <v>4660</v>
      </c>
      <c r="Q37" s="79">
        <f t="shared" si="8"/>
        <v>7094</v>
      </c>
      <c r="R37" s="79">
        <f>SUM(R29:R36)</f>
        <v>5566</v>
      </c>
      <c r="S37" s="79">
        <f>SUM(S29:S36)</f>
        <v>5026</v>
      </c>
      <c r="T37" s="79">
        <f t="shared" ref="T37:Z37" si="9">SUM(T29:T36)</f>
        <v>6200</v>
      </c>
      <c r="U37" s="79">
        <f t="shared" si="9"/>
        <v>5901</v>
      </c>
      <c r="V37" s="79">
        <f t="shared" si="9"/>
        <v>6827</v>
      </c>
      <c r="W37" s="79">
        <f t="shared" si="9"/>
        <v>3758</v>
      </c>
      <c r="X37" s="79">
        <f t="shared" si="9"/>
        <v>8200</v>
      </c>
      <c r="Y37" s="79">
        <f t="shared" si="9"/>
        <v>9822.5</v>
      </c>
      <c r="Z37" s="79">
        <f t="shared" si="9"/>
        <v>9407</v>
      </c>
      <c r="AA37" s="79">
        <f t="shared" ref="AA37" si="10">SUM(AA29:AA36)</f>
        <v>10712</v>
      </c>
      <c r="AB37" s="79">
        <f t="shared" ref="AB37:AC37" si="11">SUM(AB29:AB36)</f>
        <v>11498</v>
      </c>
      <c r="AC37" s="79">
        <f t="shared" si="11"/>
        <v>11834</v>
      </c>
      <c r="AD37" s="79">
        <f t="shared" ref="AD37" si="12">SUM(AD29:AD36)</f>
        <v>0</v>
      </c>
    </row>
    <row r="38" spans="1:30" s="23" customFormat="1" ht="20.100000000000001" customHeight="1" x14ac:dyDescent="0.2">
      <c r="A38" s="25" t="s">
        <v>61</v>
      </c>
      <c r="B38" s="26"/>
      <c r="C38" s="27"/>
      <c r="D38" s="6"/>
      <c r="E38" s="6">
        <v>13</v>
      </c>
      <c r="F38" s="6">
        <v>10</v>
      </c>
      <c r="G38" s="6">
        <v>21</v>
      </c>
      <c r="H38" s="6">
        <v>0</v>
      </c>
      <c r="I38" s="6">
        <v>0</v>
      </c>
      <c r="J38" s="6">
        <v>0</v>
      </c>
      <c r="K38" s="6"/>
      <c r="L38" s="6"/>
      <c r="M38" s="6"/>
      <c r="N38" s="6"/>
      <c r="O38" s="6"/>
      <c r="P38" s="6"/>
      <c r="Q38" s="6"/>
      <c r="R38" s="130"/>
      <c r="S38" s="6"/>
      <c r="T38" s="6"/>
      <c r="U38" s="202"/>
      <c r="V38" s="6"/>
      <c r="W38" s="6"/>
      <c r="X38" s="6"/>
      <c r="Y38" s="6"/>
      <c r="Z38" s="185"/>
      <c r="AA38" s="6"/>
      <c r="AB38" s="6"/>
      <c r="AC38" s="6"/>
      <c r="AD38" s="6"/>
    </row>
    <row r="39" spans="1:30" s="23" customFormat="1" ht="20.100000000000001" customHeight="1" x14ac:dyDescent="0.2">
      <c r="A39" s="25" t="s">
        <v>47</v>
      </c>
      <c r="B39" s="26"/>
      <c r="C39" s="27"/>
      <c r="D39" s="6">
        <v>2000</v>
      </c>
      <c r="E39" s="6">
        <v>2950</v>
      </c>
      <c r="F39" s="6">
        <v>5287</v>
      </c>
      <c r="G39" s="6">
        <v>2333</v>
      </c>
      <c r="H39" s="6">
        <v>480</v>
      </c>
      <c r="I39" s="6">
        <v>52</v>
      </c>
      <c r="J39" s="6">
        <v>23</v>
      </c>
      <c r="K39" s="6">
        <v>34</v>
      </c>
      <c r="L39" s="6">
        <v>0</v>
      </c>
      <c r="M39" s="6"/>
      <c r="N39" s="6"/>
      <c r="O39" s="6"/>
      <c r="P39" s="6"/>
      <c r="Q39" s="6"/>
      <c r="R39" s="130"/>
      <c r="S39" s="6"/>
      <c r="T39" s="6"/>
      <c r="U39" s="202"/>
      <c r="V39" s="6"/>
      <c r="W39" s="6"/>
      <c r="X39" s="6"/>
      <c r="Y39" s="6"/>
      <c r="Z39" s="185"/>
      <c r="AA39" s="6"/>
      <c r="AB39" s="6"/>
      <c r="AC39" s="6"/>
      <c r="AD39" s="6"/>
    </row>
    <row r="40" spans="1:30" s="23" customFormat="1" ht="20.100000000000001" customHeight="1" x14ac:dyDescent="0.2">
      <c r="A40" s="120" t="s">
        <v>48</v>
      </c>
      <c r="B40" s="26"/>
      <c r="C40" s="27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130">
        <v>309</v>
      </c>
      <c r="S40" s="6">
        <v>254</v>
      </c>
      <c r="T40" s="6">
        <v>717</v>
      </c>
      <c r="U40" s="202">
        <v>820</v>
      </c>
      <c r="V40" s="6">
        <v>434</v>
      </c>
      <c r="W40" s="6"/>
      <c r="X40" s="6">
        <v>777</v>
      </c>
      <c r="Y40" s="6">
        <v>680</v>
      </c>
      <c r="Z40" s="185">
        <v>855</v>
      </c>
      <c r="AA40" s="6">
        <v>583</v>
      </c>
      <c r="AB40" s="6">
        <v>454</v>
      </c>
      <c r="AC40" s="6">
        <v>774</v>
      </c>
      <c r="AD40" s="6"/>
    </row>
    <row r="41" spans="1:30" s="23" customFormat="1" ht="20.100000000000001" customHeight="1" x14ac:dyDescent="0.2">
      <c r="A41" s="120" t="s">
        <v>49</v>
      </c>
      <c r="B41" s="26"/>
      <c r="C41" s="27"/>
      <c r="D41" s="6">
        <v>1621</v>
      </c>
      <c r="E41" s="6">
        <v>1378</v>
      </c>
      <c r="F41" s="6">
        <v>1621</v>
      </c>
      <c r="G41" s="6">
        <v>727</v>
      </c>
      <c r="H41" s="6">
        <v>450</v>
      </c>
      <c r="I41" s="6">
        <v>573</v>
      </c>
      <c r="J41" s="6">
        <v>777</v>
      </c>
      <c r="K41" s="6">
        <v>796</v>
      </c>
      <c r="L41" s="6"/>
      <c r="M41" s="6"/>
      <c r="N41" s="6"/>
      <c r="O41" s="6"/>
      <c r="P41" s="6">
        <v>358</v>
      </c>
      <c r="Q41" s="6"/>
      <c r="R41" s="130"/>
      <c r="S41" s="6"/>
      <c r="T41" s="6"/>
      <c r="U41" s="202"/>
      <c r="V41" s="6"/>
      <c r="W41" s="6"/>
      <c r="X41" s="6"/>
      <c r="Y41" s="6"/>
      <c r="Z41" s="185"/>
      <c r="AA41" s="6"/>
      <c r="AB41" s="6"/>
      <c r="AC41" s="6"/>
      <c r="AD41" s="6"/>
    </row>
    <row r="42" spans="1:30" s="23" customFormat="1" ht="20.100000000000001" customHeight="1" x14ac:dyDescent="0.2">
      <c r="A42" s="25" t="s">
        <v>50</v>
      </c>
      <c r="B42" s="26"/>
      <c r="C42" s="27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130"/>
      <c r="S42" s="6"/>
      <c r="T42" s="6"/>
      <c r="U42" s="202"/>
      <c r="V42" s="6"/>
      <c r="W42" s="6"/>
      <c r="X42" s="6"/>
      <c r="Y42" s="6"/>
      <c r="Z42" s="185"/>
      <c r="AA42" s="6"/>
      <c r="AB42" s="6"/>
      <c r="AC42" s="6"/>
      <c r="AD42" s="6"/>
    </row>
    <row r="43" spans="1:30" s="23" customFormat="1" ht="20.100000000000001" customHeight="1" x14ac:dyDescent="0.2">
      <c r="A43" s="25" t="s">
        <v>51</v>
      </c>
      <c r="B43" s="26"/>
      <c r="C43" s="27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130"/>
      <c r="S43" s="6"/>
      <c r="T43" s="6"/>
      <c r="U43" s="202"/>
      <c r="V43" s="6"/>
      <c r="W43" s="6"/>
      <c r="X43" s="6"/>
      <c r="Y43" s="6"/>
      <c r="Z43" s="185"/>
      <c r="AA43" s="6"/>
      <c r="AB43" s="6"/>
      <c r="AC43" s="6"/>
      <c r="AD43" s="6"/>
    </row>
    <row r="44" spans="1:30" s="23" customFormat="1" ht="20.100000000000001" customHeight="1" x14ac:dyDescent="0.2">
      <c r="A44" s="25" t="s">
        <v>52</v>
      </c>
      <c r="B44" s="26"/>
      <c r="C44" s="27"/>
      <c r="D44" s="6">
        <v>3456</v>
      </c>
      <c r="E44" s="6">
        <v>3336</v>
      </c>
      <c r="F44" s="6">
        <v>4210</v>
      </c>
      <c r="G44" s="6">
        <v>4391</v>
      </c>
      <c r="H44" s="6">
        <v>4430</v>
      </c>
      <c r="I44" s="6">
        <v>4192</v>
      </c>
      <c r="J44" s="6">
        <v>4776</v>
      </c>
      <c r="K44" s="6">
        <v>4835</v>
      </c>
      <c r="L44" s="6">
        <v>5475</v>
      </c>
      <c r="M44" s="6">
        <v>6569</v>
      </c>
      <c r="N44" s="6">
        <v>6875</v>
      </c>
      <c r="O44" s="6">
        <v>6490</v>
      </c>
      <c r="P44" s="6">
        <v>6552</v>
      </c>
      <c r="Q44" s="6">
        <v>4406</v>
      </c>
      <c r="R44" s="130">
        <v>5741</v>
      </c>
      <c r="S44" s="6">
        <v>5900</v>
      </c>
      <c r="T44" s="6">
        <v>6950</v>
      </c>
      <c r="U44" s="202">
        <v>6657</v>
      </c>
      <c r="V44" s="6">
        <v>5650</v>
      </c>
      <c r="W44" s="6">
        <v>7173</v>
      </c>
      <c r="X44" s="6">
        <v>10142</v>
      </c>
      <c r="Y44" s="6">
        <v>11792</v>
      </c>
      <c r="Z44" s="185">
        <v>12929</v>
      </c>
      <c r="AA44" s="6">
        <v>6572</v>
      </c>
      <c r="AB44" s="6">
        <v>6469</v>
      </c>
      <c r="AC44" s="6">
        <v>9010</v>
      </c>
      <c r="AD44" s="6"/>
    </row>
    <row r="45" spans="1:30" s="23" customFormat="1" ht="20.100000000000001" customHeight="1" x14ac:dyDescent="0.2">
      <c r="A45" s="25" t="s">
        <v>53</v>
      </c>
      <c r="B45" s="26"/>
      <c r="C45" s="27"/>
      <c r="D45" s="6">
        <v>22</v>
      </c>
      <c r="E45" s="6">
        <v>20</v>
      </c>
      <c r="F45" s="6">
        <v>28</v>
      </c>
      <c r="G45" s="6">
        <v>35</v>
      </c>
      <c r="H45" s="6">
        <v>136</v>
      </c>
      <c r="I45" s="6">
        <v>63</v>
      </c>
      <c r="J45" s="6">
        <v>96</v>
      </c>
      <c r="K45" s="6">
        <v>79</v>
      </c>
      <c r="L45" s="6">
        <v>106</v>
      </c>
      <c r="M45" s="6">
        <v>100</v>
      </c>
      <c r="N45" s="6">
        <v>60</v>
      </c>
      <c r="O45" s="6">
        <v>65</v>
      </c>
      <c r="P45" s="6">
        <v>60</v>
      </c>
      <c r="Q45" s="6"/>
      <c r="R45" s="130">
        <v>30</v>
      </c>
      <c r="S45" s="6">
        <v>21</v>
      </c>
      <c r="T45" s="6">
        <v>50</v>
      </c>
      <c r="U45" s="202">
        <v>53</v>
      </c>
      <c r="V45" s="6">
        <v>57</v>
      </c>
      <c r="W45" s="6">
        <v>68</v>
      </c>
      <c r="X45" s="6">
        <v>83</v>
      </c>
      <c r="Y45" s="6">
        <v>56</v>
      </c>
      <c r="Z45" s="185">
        <v>56</v>
      </c>
      <c r="AA45" s="6">
        <v>89</v>
      </c>
      <c r="AB45" s="6">
        <v>96</v>
      </c>
      <c r="AC45" s="6">
        <v>109</v>
      </c>
      <c r="AD45" s="6"/>
    </row>
    <row r="46" spans="1:30" s="23" customFormat="1" ht="20.100000000000001" customHeight="1" x14ac:dyDescent="0.2">
      <c r="A46" s="25" t="s">
        <v>54</v>
      </c>
      <c r="B46" s="26"/>
      <c r="C46" s="27"/>
      <c r="D46" s="6">
        <v>28</v>
      </c>
      <c r="E46" s="6">
        <v>127</v>
      </c>
      <c r="F46" s="6">
        <v>30</v>
      </c>
      <c r="G46" s="6">
        <v>29</v>
      </c>
      <c r="H46" s="6">
        <v>24</v>
      </c>
      <c r="I46" s="6">
        <v>61</v>
      </c>
      <c r="J46" s="6">
        <v>63</v>
      </c>
      <c r="K46" s="6">
        <v>56</v>
      </c>
      <c r="L46" s="6">
        <v>36</v>
      </c>
      <c r="M46" s="6">
        <v>11</v>
      </c>
      <c r="N46" s="6">
        <v>75</v>
      </c>
      <c r="O46" s="6">
        <v>145</v>
      </c>
      <c r="P46" s="6">
        <v>131</v>
      </c>
      <c r="Q46" s="6"/>
      <c r="R46" s="130">
        <v>395</v>
      </c>
      <c r="S46" s="6">
        <v>158</v>
      </c>
      <c r="T46" s="6">
        <v>300</v>
      </c>
      <c r="U46" s="202"/>
      <c r="V46" s="6"/>
      <c r="W46" s="6"/>
      <c r="X46" s="6"/>
      <c r="Y46" s="6">
        <v>186</v>
      </c>
      <c r="Z46" s="185">
        <v>263</v>
      </c>
      <c r="AA46" s="6">
        <v>460</v>
      </c>
      <c r="AB46" s="6">
        <v>531</v>
      </c>
      <c r="AC46" s="6">
        <v>691</v>
      </c>
      <c r="AD46" s="6"/>
    </row>
    <row r="47" spans="1:30" s="23" customFormat="1" ht="20.100000000000001" customHeight="1" x14ac:dyDescent="0.2">
      <c r="A47" s="76" t="s">
        <v>55</v>
      </c>
      <c r="B47" s="77"/>
      <c r="C47" s="78"/>
      <c r="D47" s="79">
        <v>168143</v>
      </c>
      <c r="E47" s="79">
        <v>188985</v>
      </c>
      <c r="F47" s="79">
        <v>185469</v>
      </c>
      <c r="G47" s="79">
        <v>178770</v>
      </c>
      <c r="H47" s="79">
        <v>178808</v>
      </c>
      <c r="I47" s="79">
        <v>157376</v>
      </c>
      <c r="J47" s="79">
        <f t="shared" ref="J47:Q47" si="13">SUM(J16+J28+J37+J38+J39+J40+J42+J43+J44+J45+J46)</f>
        <v>159873</v>
      </c>
      <c r="K47" s="79">
        <f t="shared" si="13"/>
        <v>168428</v>
      </c>
      <c r="L47" s="79">
        <f t="shared" si="13"/>
        <v>167915</v>
      </c>
      <c r="M47" s="79">
        <f t="shared" si="13"/>
        <v>169353</v>
      </c>
      <c r="N47" s="79">
        <f t="shared" si="13"/>
        <v>148438</v>
      </c>
      <c r="O47" s="79">
        <f t="shared" si="13"/>
        <v>149387</v>
      </c>
      <c r="P47" s="79">
        <f t="shared" si="13"/>
        <v>153058</v>
      </c>
      <c r="Q47" s="79">
        <f t="shared" si="13"/>
        <v>118316</v>
      </c>
      <c r="R47" s="79">
        <f>SUM(R16+R28+R37+R38+R39+R40+R42+R43+R44+R45+R46)</f>
        <v>123236</v>
      </c>
      <c r="S47" s="79">
        <f>SUM(S16+S28+S37)+SUM(S38+S39+S40+S42+S43+S44+S45+S46)</f>
        <v>134903</v>
      </c>
      <c r="T47" s="79">
        <f t="shared" ref="T47:AA47" si="14">SUM(T16+T28+T37)+SUM(T38+T39+T40+T42+T43+T44+T45+T46)</f>
        <v>139975.5</v>
      </c>
      <c r="U47" s="79">
        <f t="shared" si="14"/>
        <v>140105.07</v>
      </c>
      <c r="V47" s="79">
        <f t="shared" si="14"/>
        <v>136992</v>
      </c>
      <c r="W47" s="79">
        <f t="shared" si="14"/>
        <v>122697</v>
      </c>
      <c r="X47" s="79">
        <f t="shared" si="14"/>
        <v>139304</v>
      </c>
      <c r="Y47" s="79">
        <f t="shared" si="14"/>
        <v>160500.5</v>
      </c>
      <c r="Z47" s="79">
        <f t="shared" si="14"/>
        <v>169938</v>
      </c>
      <c r="AA47" s="79">
        <f t="shared" si="14"/>
        <v>164329</v>
      </c>
      <c r="AB47" s="79">
        <f t="shared" ref="AB47:AC47" si="15">SUM(AB16+AB28+AB37)+SUM(AB38+AB39+AB40+AB42+AB43+AB44+AB45+AB46)</f>
        <v>167692</v>
      </c>
      <c r="AC47" s="79">
        <f t="shared" si="15"/>
        <v>178106</v>
      </c>
      <c r="AD47" s="79">
        <f t="shared" ref="AD47" si="16">SUM(AD16+AD28+AD37)+SUM(AD38+AD39+AD40+AD42+AD43+AD44+AD45+AD46)</f>
        <v>0</v>
      </c>
    </row>
    <row r="48" spans="1:30" x14ac:dyDescent="0.2">
      <c r="F48" t="s">
        <v>32</v>
      </c>
      <c r="G48" t="s">
        <v>32</v>
      </c>
      <c r="Y48" s="23"/>
      <c r="Z48" s="23"/>
    </row>
  </sheetData>
  <mergeCells count="1">
    <mergeCell ref="A3:I3"/>
  </mergeCells>
  <phoneticPr fontId="0" type="noConversion"/>
  <printOptions horizontalCentered="1"/>
  <pageMargins left="0.19" right="0.19685039370078741" top="0.39370078740157483" bottom="0.19685039370078741" header="0.51181102362204722" footer="0.51181102362204722"/>
  <pageSetup paperSize="9" scale="6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D49"/>
  <sheetViews>
    <sheetView topLeftCell="A3" zoomScaleNormal="100" workbookViewId="0">
      <pane ySplit="3" topLeftCell="A6" activePane="bottomLeft" state="frozen"/>
      <selection activeCell="AA35" sqref="AA35"/>
      <selection pane="bottomLeft" activeCell="AE18" sqref="AE18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5" width="0" hidden="1" customWidth="1"/>
  </cols>
  <sheetData>
    <row r="1" spans="1:30" ht="17.100000000000001" customHeight="1" x14ac:dyDescent="0.25">
      <c r="A1" s="4" t="s">
        <v>62</v>
      </c>
      <c r="B1" s="1"/>
      <c r="C1" s="1"/>
      <c r="D1" s="1"/>
      <c r="E1" s="1"/>
      <c r="F1" s="1"/>
      <c r="G1" s="1"/>
      <c r="H1" s="1"/>
      <c r="I1" s="1"/>
    </row>
    <row r="2" spans="1:30" ht="17.100000000000001" customHeight="1" x14ac:dyDescent="0.25">
      <c r="A2" s="45"/>
      <c r="B2" s="45"/>
      <c r="C2" s="45"/>
      <c r="D2" s="45"/>
      <c r="E2" s="45"/>
      <c r="F2" s="45"/>
      <c r="G2" s="45"/>
      <c r="H2" s="45"/>
      <c r="I2" s="45"/>
    </row>
    <row r="3" spans="1:30" ht="17.100000000000001" customHeight="1" x14ac:dyDescent="0.25">
      <c r="A3" s="292" t="s">
        <v>10</v>
      </c>
      <c r="B3" s="292"/>
      <c r="C3" s="292"/>
      <c r="D3" s="292"/>
      <c r="E3" s="292"/>
      <c r="F3" s="292"/>
      <c r="G3" s="292"/>
      <c r="H3" s="292"/>
      <c r="I3" s="292"/>
      <c r="R3" t="s">
        <v>32</v>
      </c>
    </row>
    <row r="4" spans="1:30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01"/>
    </row>
    <row r="5" spans="1:30" s="16" customFormat="1" ht="20.100000000000001" customHeight="1" x14ac:dyDescent="0.25">
      <c r="A5" s="15" t="s">
        <v>11</v>
      </c>
      <c r="B5" s="2"/>
      <c r="C5" s="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74">
        <v>2002</v>
      </c>
      <c r="J5" s="74">
        <v>2003</v>
      </c>
      <c r="K5" s="74">
        <v>2004</v>
      </c>
      <c r="L5" s="74">
        <v>2005</v>
      </c>
      <c r="M5" s="74">
        <v>2006</v>
      </c>
      <c r="N5" s="74">
        <v>2007</v>
      </c>
      <c r="O5" s="74">
        <v>2008</v>
      </c>
      <c r="P5" s="74">
        <v>2009</v>
      </c>
      <c r="Q5" s="74">
        <v>2010</v>
      </c>
      <c r="R5" s="74">
        <v>2011</v>
      </c>
      <c r="S5" s="74">
        <v>2012</v>
      </c>
      <c r="T5" s="204">
        <v>2013</v>
      </c>
      <c r="U5" s="204">
        <v>2014</v>
      </c>
      <c r="V5" s="204">
        <v>2015</v>
      </c>
      <c r="W5" s="204">
        <v>2016</v>
      </c>
      <c r="X5" s="204">
        <v>2017</v>
      </c>
      <c r="Y5" s="204">
        <v>2018</v>
      </c>
      <c r="Z5" s="204">
        <v>2019</v>
      </c>
      <c r="AA5" s="204">
        <v>2020</v>
      </c>
      <c r="AB5" s="204">
        <v>2021</v>
      </c>
      <c r="AC5" s="204">
        <v>2022</v>
      </c>
      <c r="AD5" s="204">
        <v>2023</v>
      </c>
    </row>
    <row r="6" spans="1:30" ht="20.100000000000001" customHeight="1" x14ac:dyDescent="0.2">
      <c r="A6" s="7" t="s">
        <v>13</v>
      </c>
      <c r="B6" s="8"/>
      <c r="C6" s="9"/>
      <c r="D6" s="6">
        <v>8711</v>
      </c>
      <c r="E6" s="6">
        <v>12718</v>
      </c>
      <c r="F6" s="6">
        <v>16197</v>
      </c>
      <c r="G6" s="6">
        <v>14873</v>
      </c>
      <c r="H6" s="6">
        <v>11926</v>
      </c>
      <c r="I6" s="6">
        <v>10038</v>
      </c>
      <c r="J6" s="6">
        <v>9200</v>
      </c>
      <c r="K6" s="6">
        <v>13370</v>
      </c>
      <c r="L6" s="5">
        <v>16500</v>
      </c>
      <c r="M6" s="5">
        <v>14500</v>
      </c>
      <c r="N6" s="5">
        <v>10800</v>
      </c>
      <c r="O6" s="5">
        <v>10600</v>
      </c>
      <c r="P6" s="5">
        <v>10700</v>
      </c>
      <c r="Q6" s="5">
        <v>8700</v>
      </c>
      <c r="R6" s="6">
        <v>8287</v>
      </c>
      <c r="S6" s="5">
        <v>11043</v>
      </c>
      <c r="T6" s="63">
        <v>12627.250000000013</v>
      </c>
      <c r="U6" s="63">
        <v>12399</v>
      </c>
      <c r="V6" s="63">
        <v>11507</v>
      </c>
      <c r="W6" s="63">
        <v>9987</v>
      </c>
      <c r="X6" s="63">
        <v>7890</v>
      </c>
      <c r="Y6" s="63">
        <v>9891</v>
      </c>
      <c r="Z6" s="211">
        <v>9432</v>
      </c>
      <c r="AA6" s="63">
        <v>9971</v>
      </c>
      <c r="AB6" s="63">
        <v>8985</v>
      </c>
      <c r="AC6" s="63">
        <v>11233</v>
      </c>
      <c r="AD6" s="63">
        <v>10319</v>
      </c>
    </row>
    <row r="7" spans="1:30" ht="20.100000000000001" customHeight="1" x14ac:dyDescent="0.2">
      <c r="A7" s="7" t="s">
        <v>14</v>
      </c>
      <c r="B7" s="8"/>
      <c r="C7" s="9"/>
      <c r="D7" s="6"/>
      <c r="E7" s="6"/>
      <c r="F7" s="6"/>
      <c r="G7" s="6"/>
      <c r="H7" s="6"/>
      <c r="I7" s="6"/>
      <c r="J7" s="6"/>
      <c r="K7" s="5"/>
      <c r="L7" s="5"/>
      <c r="M7" s="5"/>
      <c r="N7" s="5"/>
      <c r="O7" s="5"/>
      <c r="P7" s="5"/>
      <c r="Q7" s="5"/>
      <c r="R7" s="6"/>
      <c r="S7" s="5"/>
      <c r="T7" s="63"/>
      <c r="U7" s="63"/>
      <c r="V7" s="63"/>
      <c r="W7" s="63"/>
      <c r="X7" s="63"/>
      <c r="Y7" s="63"/>
      <c r="Z7" s="211"/>
      <c r="AA7" s="63"/>
      <c r="AB7" s="63"/>
      <c r="AC7" s="63"/>
      <c r="AD7" s="63"/>
    </row>
    <row r="8" spans="1:30" ht="20.100000000000001" customHeight="1" x14ac:dyDescent="0.2">
      <c r="A8" s="7" t="s">
        <v>58</v>
      </c>
      <c r="B8" s="8"/>
      <c r="C8" s="9"/>
      <c r="D8" s="6">
        <v>7280</v>
      </c>
      <c r="E8" s="6">
        <v>9619</v>
      </c>
      <c r="F8" s="6">
        <v>10760</v>
      </c>
      <c r="G8" s="6">
        <v>12197</v>
      </c>
      <c r="H8" s="6">
        <v>11527</v>
      </c>
      <c r="I8" s="6">
        <v>9481</v>
      </c>
      <c r="J8" s="6">
        <v>9000</v>
      </c>
      <c r="K8" s="6">
        <v>6380</v>
      </c>
      <c r="L8" s="5">
        <v>6600</v>
      </c>
      <c r="M8" s="5">
        <v>7000</v>
      </c>
      <c r="N8" s="5">
        <v>9000</v>
      </c>
      <c r="O8" s="5">
        <v>8500</v>
      </c>
      <c r="P8" s="5">
        <v>8710</v>
      </c>
      <c r="Q8" s="5">
        <v>6700</v>
      </c>
      <c r="R8" s="6">
        <v>6784</v>
      </c>
      <c r="S8" s="5">
        <v>7697</v>
      </c>
      <c r="T8" s="63">
        <v>8728.2900000000027</v>
      </c>
      <c r="U8" s="63">
        <v>7379</v>
      </c>
      <c r="V8" s="63">
        <v>6729</v>
      </c>
      <c r="W8" s="63">
        <v>7705</v>
      </c>
      <c r="X8" s="63">
        <v>9258</v>
      </c>
      <c r="Y8" s="63">
        <v>9157</v>
      </c>
      <c r="Z8" s="211">
        <v>8175</v>
      </c>
      <c r="AA8" s="63">
        <v>9558</v>
      </c>
      <c r="AB8" s="63">
        <v>7036</v>
      </c>
      <c r="AC8" s="63">
        <v>7345</v>
      </c>
      <c r="AD8" s="63">
        <v>6275</v>
      </c>
    </row>
    <row r="9" spans="1:30" ht="20.100000000000001" customHeight="1" x14ac:dyDescent="0.2">
      <c r="A9" s="7" t="s">
        <v>16</v>
      </c>
      <c r="B9" s="8"/>
      <c r="C9" s="9"/>
      <c r="D9" s="6">
        <v>278</v>
      </c>
      <c r="E9" s="6">
        <v>415</v>
      </c>
      <c r="F9" s="6">
        <v>203</v>
      </c>
      <c r="G9" s="6">
        <v>889</v>
      </c>
      <c r="H9" s="6">
        <v>511</v>
      </c>
      <c r="I9" s="6">
        <v>589</v>
      </c>
      <c r="J9" s="6">
        <v>470</v>
      </c>
      <c r="K9" s="6">
        <v>663</v>
      </c>
      <c r="L9" s="5">
        <v>340</v>
      </c>
      <c r="M9" s="5">
        <v>500</v>
      </c>
      <c r="N9" s="5">
        <v>600</v>
      </c>
      <c r="O9" s="5">
        <v>560</v>
      </c>
      <c r="P9" s="5">
        <v>490</v>
      </c>
      <c r="Q9" s="5">
        <v>610</v>
      </c>
      <c r="R9" s="6">
        <v>428</v>
      </c>
      <c r="S9" s="5">
        <v>385</v>
      </c>
      <c r="T9" s="63">
        <v>229.36</v>
      </c>
      <c r="U9" s="63">
        <v>470</v>
      </c>
      <c r="V9" s="63">
        <v>761</v>
      </c>
      <c r="W9" s="63">
        <v>423</v>
      </c>
      <c r="X9" s="63">
        <v>528</v>
      </c>
      <c r="Y9" s="63">
        <v>190</v>
      </c>
      <c r="Z9" s="211">
        <v>625</v>
      </c>
      <c r="AA9" s="63">
        <v>364</v>
      </c>
      <c r="AB9" s="63">
        <v>389</v>
      </c>
      <c r="AC9" s="63">
        <v>293</v>
      </c>
      <c r="AD9" s="63">
        <v>427</v>
      </c>
    </row>
    <row r="10" spans="1:30" ht="20.100000000000001" customHeight="1" x14ac:dyDescent="0.2">
      <c r="A10" s="7" t="s">
        <v>17</v>
      </c>
      <c r="B10" s="8"/>
      <c r="C10" s="9"/>
      <c r="D10" s="6"/>
      <c r="E10" s="6">
        <v>40</v>
      </c>
      <c r="F10" s="6">
        <v>6</v>
      </c>
      <c r="G10" s="6">
        <v>13</v>
      </c>
      <c r="H10" s="6">
        <v>10</v>
      </c>
      <c r="I10" s="6"/>
      <c r="J10" s="6"/>
      <c r="K10" s="5"/>
      <c r="L10" s="5"/>
      <c r="M10" s="5"/>
      <c r="N10" s="5"/>
      <c r="O10" s="5"/>
      <c r="P10" s="5"/>
      <c r="Q10" s="5"/>
      <c r="R10" s="6"/>
      <c r="S10" s="5"/>
      <c r="T10" s="63">
        <v>4.6399999999999997</v>
      </c>
      <c r="U10" s="63"/>
      <c r="V10" s="63"/>
      <c r="W10" s="63"/>
      <c r="X10" s="63">
        <v>15</v>
      </c>
      <c r="Y10" s="63">
        <v>94</v>
      </c>
      <c r="Z10" s="211">
        <v>186</v>
      </c>
      <c r="AA10" s="63">
        <v>188</v>
      </c>
      <c r="AB10" s="63">
        <v>61</v>
      </c>
      <c r="AC10" s="63">
        <v>185</v>
      </c>
      <c r="AD10" s="63">
        <v>447</v>
      </c>
    </row>
    <row r="11" spans="1:30" ht="20.100000000000001" customHeight="1" x14ac:dyDescent="0.2">
      <c r="A11" s="7" t="s">
        <v>59</v>
      </c>
      <c r="B11" s="8"/>
      <c r="C11" s="9"/>
      <c r="D11" s="6"/>
      <c r="E11" s="6"/>
      <c r="F11" s="6"/>
      <c r="G11" s="6"/>
      <c r="H11" s="6"/>
      <c r="I11" s="6"/>
      <c r="J11" s="6"/>
      <c r="K11" s="5"/>
      <c r="L11" s="5"/>
      <c r="M11" s="5"/>
      <c r="N11" s="5"/>
      <c r="O11" s="5"/>
      <c r="P11" s="5"/>
      <c r="Q11" s="5"/>
      <c r="R11" s="6"/>
      <c r="S11" s="5"/>
      <c r="T11" s="63"/>
      <c r="U11" s="63"/>
      <c r="V11" s="63"/>
      <c r="W11" s="63"/>
      <c r="X11" s="63"/>
      <c r="Y11" s="63"/>
      <c r="Z11" s="211"/>
      <c r="AA11" s="63"/>
      <c r="AB11" s="63"/>
      <c r="AC11" s="63"/>
      <c r="AD11" s="63"/>
    </row>
    <row r="12" spans="1:30" ht="20.100000000000001" customHeight="1" x14ac:dyDescent="0.2">
      <c r="A12" s="7" t="s">
        <v>19</v>
      </c>
      <c r="B12" s="8"/>
      <c r="C12" s="9"/>
      <c r="D12" s="6">
        <v>1546</v>
      </c>
      <c r="E12" s="6">
        <v>1848</v>
      </c>
      <c r="F12" s="6">
        <v>2484</v>
      </c>
      <c r="G12" s="6">
        <v>2953</v>
      </c>
      <c r="H12" s="6">
        <v>2615</v>
      </c>
      <c r="I12" s="6">
        <v>2736</v>
      </c>
      <c r="J12" s="6">
        <v>4100</v>
      </c>
      <c r="K12" s="6">
        <v>5068</v>
      </c>
      <c r="L12" s="5">
        <v>4700</v>
      </c>
      <c r="M12" s="5">
        <v>2200</v>
      </c>
      <c r="N12" s="5">
        <v>2100</v>
      </c>
      <c r="O12" s="5">
        <v>3100</v>
      </c>
      <c r="P12" s="5">
        <v>4060</v>
      </c>
      <c r="Q12" s="5">
        <v>4000</v>
      </c>
      <c r="R12" s="6">
        <v>4418</v>
      </c>
      <c r="S12" s="5">
        <v>4041</v>
      </c>
      <c r="T12" s="63">
        <v>4519.68</v>
      </c>
      <c r="U12" s="63">
        <v>4851</v>
      </c>
      <c r="V12" s="63">
        <v>4837</v>
      </c>
      <c r="W12" s="63">
        <v>4457</v>
      </c>
      <c r="X12" s="63">
        <v>4565</v>
      </c>
      <c r="Y12" s="63">
        <v>4727</v>
      </c>
      <c r="Z12" s="211">
        <v>4745</v>
      </c>
      <c r="AA12" s="63">
        <v>5663</v>
      </c>
      <c r="AB12" s="63">
        <v>4231</v>
      </c>
      <c r="AC12" s="63">
        <v>5259</v>
      </c>
      <c r="AD12" s="63">
        <v>5589</v>
      </c>
    </row>
    <row r="13" spans="1:30" ht="20.100000000000001" customHeight="1" x14ac:dyDescent="0.2">
      <c r="A13" s="7" t="s">
        <v>20</v>
      </c>
      <c r="B13" s="8"/>
      <c r="C13" s="9"/>
      <c r="D13" s="6">
        <v>282</v>
      </c>
      <c r="E13" s="6">
        <v>443</v>
      </c>
      <c r="F13" s="6">
        <v>267</v>
      </c>
      <c r="G13" s="6">
        <v>743</v>
      </c>
      <c r="H13" s="6">
        <v>330</v>
      </c>
      <c r="I13" s="6">
        <v>319</v>
      </c>
      <c r="J13" s="6">
        <v>500</v>
      </c>
      <c r="K13" s="6">
        <v>783</v>
      </c>
      <c r="L13" s="5">
        <v>420</v>
      </c>
      <c r="M13" s="5">
        <v>500</v>
      </c>
      <c r="N13" s="5">
        <v>500</v>
      </c>
      <c r="O13" s="5">
        <v>370</v>
      </c>
      <c r="P13" s="5">
        <v>195</v>
      </c>
      <c r="Q13" s="5">
        <v>340</v>
      </c>
      <c r="R13" s="6">
        <v>684</v>
      </c>
      <c r="S13" s="5">
        <v>500</v>
      </c>
      <c r="T13" s="63"/>
      <c r="U13" s="63"/>
      <c r="V13" s="63"/>
      <c r="W13" s="63"/>
      <c r="X13" s="63"/>
      <c r="Y13" s="63"/>
      <c r="Z13" s="211">
        <v>720</v>
      </c>
      <c r="AA13" s="63"/>
      <c r="AB13" s="63"/>
      <c r="AC13" s="63"/>
      <c r="AD13" s="63"/>
    </row>
    <row r="14" spans="1:30" ht="20.100000000000001" customHeight="1" x14ac:dyDescent="0.2">
      <c r="A14" s="7" t="s">
        <v>22</v>
      </c>
      <c r="B14" s="8"/>
      <c r="C14" s="9"/>
      <c r="D14" s="6"/>
      <c r="E14" s="6"/>
      <c r="F14" s="6"/>
      <c r="G14" s="6"/>
      <c r="H14" s="6"/>
      <c r="I14" s="6"/>
      <c r="J14" s="6"/>
      <c r="K14" s="5"/>
      <c r="L14" s="5"/>
      <c r="M14" s="5"/>
      <c r="N14" s="5"/>
      <c r="O14" s="5"/>
      <c r="P14" s="5"/>
      <c r="Q14" s="5"/>
      <c r="R14" s="6"/>
      <c r="S14" s="5"/>
      <c r="T14" s="63"/>
      <c r="U14" s="63"/>
      <c r="V14" s="63"/>
      <c r="W14" s="63"/>
      <c r="X14" s="63"/>
      <c r="Y14" s="63"/>
      <c r="Z14" s="211"/>
      <c r="AA14" s="63"/>
      <c r="AB14" s="63"/>
      <c r="AC14" s="63"/>
      <c r="AD14" s="63"/>
    </row>
    <row r="15" spans="1:30" ht="20.100000000000001" customHeight="1" x14ac:dyDescent="0.2">
      <c r="A15" s="7" t="s">
        <v>23</v>
      </c>
      <c r="B15" s="8"/>
      <c r="C15" s="9"/>
      <c r="D15" s="6"/>
      <c r="E15" s="6"/>
      <c r="F15" s="6"/>
      <c r="G15" s="6"/>
      <c r="H15" s="6"/>
      <c r="I15" s="6"/>
      <c r="J15" s="6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212"/>
      <c r="AA15" s="5"/>
      <c r="AB15" s="5"/>
      <c r="AC15" s="5"/>
      <c r="AD15" s="5"/>
    </row>
    <row r="16" spans="1:30" ht="20.100000000000001" customHeight="1" x14ac:dyDescent="0.2">
      <c r="A16" s="256" t="s">
        <v>24</v>
      </c>
      <c r="B16" s="257"/>
      <c r="C16" s="258"/>
      <c r="D16" s="79">
        <v>18097</v>
      </c>
      <c r="E16" s="79">
        <v>25083</v>
      </c>
      <c r="F16" s="79">
        <v>29917</v>
      </c>
      <c r="G16" s="79">
        <v>31668</v>
      </c>
      <c r="H16" s="79">
        <v>26919</v>
      </c>
      <c r="I16" s="79">
        <v>23163</v>
      </c>
      <c r="J16" s="79">
        <f t="shared" ref="J16:R16" si="0">SUM(J6:J15)</f>
        <v>23270</v>
      </c>
      <c r="K16" s="79">
        <f t="shared" si="0"/>
        <v>26264</v>
      </c>
      <c r="L16" s="79">
        <f t="shared" si="0"/>
        <v>28560</v>
      </c>
      <c r="M16" s="79">
        <f t="shared" si="0"/>
        <v>24700</v>
      </c>
      <c r="N16" s="79">
        <f t="shared" si="0"/>
        <v>23000</v>
      </c>
      <c r="O16" s="79">
        <f t="shared" si="0"/>
        <v>23130</v>
      </c>
      <c r="P16" s="79">
        <f t="shared" si="0"/>
        <v>24155</v>
      </c>
      <c r="Q16" s="79">
        <f t="shared" si="0"/>
        <v>20350</v>
      </c>
      <c r="R16" s="79">
        <f t="shared" si="0"/>
        <v>20601</v>
      </c>
      <c r="S16" s="79">
        <f>SUM(S6:S15)</f>
        <v>23666</v>
      </c>
      <c r="T16" s="79">
        <f t="shared" ref="T16:AA16" si="1">SUM(T6:T15)</f>
        <v>26109.220000000016</v>
      </c>
      <c r="U16" s="79">
        <f t="shared" si="1"/>
        <v>25099</v>
      </c>
      <c r="V16" s="79">
        <f t="shared" si="1"/>
        <v>23834</v>
      </c>
      <c r="W16" s="79">
        <f t="shared" si="1"/>
        <v>22572</v>
      </c>
      <c r="X16" s="79">
        <f t="shared" si="1"/>
        <v>22256</v>
      </c>
      <c r="Y16" s="79">
        <f t="shared" si="1"/>
        <v>24059</v>
      </c>
      <c r="Z16" s="79">
        <f t="shared" si="1"/>
        <v>23883</v>
      </c>
      <c r="AA16" s="79">
        <f t="shared" si="1"/>
        <v>25744</v>
      </c>
      <c r="AB16" s="79">
        <f t="shared" ref="AB16" si="2">SUM(AB6:AB15)</f>
        <v>20702</v>
      </c>
      <c r="AC16" s="79">
        <f t="shared" ref="AC16:AD16" si="3">SUM(AC6:AC15)</f>
        <v>24315</v>
      </c>
      <c r="AD16" s="79">
        <f t="shared" si="3"/>
        <v>23057</v>
      </c>
    </row>
    <row r="17" spans="1:30" ht="20.100000000000001" customHeight="1" x14ac:dyDescent="0.2">
      <c r="A17" s="7" t="s">
        <v>25</v>
      </c>
      <c r="B17" s="8"/>
      <c r="C17" s="9"/>
      <c r="D17" s="6">
        <v>10</v>
      </c>
      <c r="E17" s="6">
        <v>11</v>
      </c>
      <c r="F17" s="6">
        <v>26</v>
      </c>
      <c r="G17" s="6">
        <v>25</v>
      </c>
      <c r="H17" s="6">
        <v>28</v>
      </c>
      <c r="I17" s="6">
        <v>20</v>
      </c>
      <c r="J17" s="6">
        <v>6</v>
      </c>
      <c r="K17" s="6">
        <v>0</v>
      </c>
      <c r="L17" s="5"/>
      <c r="M17" s="5"/>
      <c r="N17" s="5"/>
      <c r="O17" s="5"/>
      <c r="P17" s="5"/>
      <c r="Q17" s="5"/>
      <c r="R17" s="6"/>
      <c r="S17" s="123"/>
      <c r="T17" s="5"/>
      <c r="U17" s="5"/>
      <c r="V17" s="5"/>
      <c r="W17" s="5"/>
      <c r="X17" s="5"/>
      <c r="Y17" s="5"/>
      <c r="Z17" s="212"/>
      <c r="AA17" s="5"/>
      <c r="AB17" s="5"/>
      <c r="AC17" s="5"/>
      <c r="AD17" s="5"/>
    </row>
    <row r="18" spans="1:30" ht="20.100000000000001" customHeight="1" x14ac:dyDescent="0.2">
      <c r="A18" s="7" t="s">
        <v>26</v>
      </c>
      <c r="B18" s="8"/>
      <c r="C18" s="9"/>
      <c r="D18" s="6">
        <v>5014</v>
      </c>
      <c r="E18" s="6">
        <v>4308</v>
      </c>
      <c r="F18" s="6">
        <v>5262</v>
      </c>
      <c r="G18" s="6">
        <v>5525</v>
      </c>
      <c r="H18" s="6">
        <v>7179</v>
      </c>
      <c r="I18" s="6">
        <v>7678</v>
      </c>
      <c r="J18" s="6">
        <v>7000</v>
      </c>
      <c r="K18" s="6">
        <v>5528</v>
      </c>
      <c r="L18" s="5">
        <v>5250</v>
      </c>
      <c r="M18" s="5">
        <v>7090</v>
      </c>
      <c r="N18" s="5">
        <v>6900</v>
      </c>
      <c r="O18" s="5">
        <v>7144</v>
      </c>
      <c r="P18" s="5">
        <v>6848</v>
      </c>
      <c r="Q18" s="5">
        <v>6614</v>
      </c>
      <c r="R18" s="6">
        <v>6621</v>
      </c>
      <c r="S18" s="123">
        <v>6260</v>
      </c>
      <c r="T18" s="63">
        <v>6148.3400000000011</v>
      </c>
      <c r="U18" s="123">
        <v>5937</v>
      </c>
      <c r="V18" s="63">
        <v>6908</v>
      </c>
      <c r="W18" s="63">
        <v>7773</v>
      </c>
      <c r="X18" s="63">
        <v>7964</v>
      </c>
      <c r="Y18" s="63">
        <v>7859</v>
      </c>
      <c r="Z18" s="211">
        <v>7593</v>
      </c>
      <c r="AA18" s="63">
        <v>8011</v>
      </c>
      <c r="AB18" s="63">
        <v>6402</v>
      </c>
      <c r="AC18" s="63">
        <v>8003</v>
      </c>
      <c r="AD18" s="63">
        <v>7567</v>
      </c>
    </row>
    <row r="19" spans="1:30" ht="20.100000000000001" customHeight="1" x14ac:dyDescent="0.2">
      <c r="A19" s="25" t="s">
        <v>27</v>
      </c>
      <c r="B19" s="8"/>
      <c r="C19" s="9"/>
      <c r="D19" s="6"/>
      <c r="E19" s="6"/>
      <c r="F19" s="6"/>
      <c r="G19" s="6"/>
      <c r="H19" s="6"/>
      <c r="I19" s="6"/>
      <c r="J19" s="6"/>
      <c r="K19" s="5"/>
      <c r="L19" s="5"/>
      <c r="M19" s="5"/>
      <c r="N19" s="5"/>
      <c r="O19" s="5"/>
      <c r="P19" s="5"/>
      <c r="Q19" s="5"/>
      <c r="R19" s="6"/>
      <c r="S19" s="123"/>
      <c r="T19" s="63"/>
      <c r="U19" s="210"/>
      <c r="V19" s="210"/>
      <c r="W19" s="210"/>
      <c r="X19" s="210"/>
      <c r="Y19" s="210"/>
      <c r="Z19" s="234"/>
      <c r="AA19" s="210"/>
      <c r="AB19" s="210"/>
      <c r="AC19" s="210"/>
      <c r="AD19" s="210"/>
    </row>
    <row r="20" spans="1:30" ht="20.100000000000001" customHeight="1" x14ac:dyDescent="0.2">
      <c r="A20" s="7" t="s">
        <v>28</v>
      </c>
      <c r="B20" s="8"/>
      <c r="C20" s="9"/>
      <c r="D20" s="6"/>
      <c r="E20" s="6">
        <v>4</v>
      </c>
      <c r="F20" s="6">
        <v>5</v>
      </c>
      <c r="G20" s="6">
        <v>5</v>
      </c>
      <c r="H20" s="6">
        <v>9</v>
      </c>
      <c r="I20" s="6">
        <v>9</v>
      </c>
      <c r="J20" s="6">
        <v>5</v>
      </c>
      <c r="K20" s="6">
        <v>0</v>
      </c>
      <c r="L20" s="5"/>
      <c r="M20" s="5"/>
      <c r="N20" s="5"/>
      <c r="O20" s="5"/>
      <c r="P20" s="5"/>
      <c r="Q20" s="5"/>
      <c r="R20" s="6"/>
      <c r="S20" s="123"/>
      <c r="T20" s="63"/>
      <c r="U20" s="210"/>
      <c r="V20" s="210"/>
      <c r="W20" s="210"/>
      <c r="X20" s="210"/>
      <c r="Y20" s="210"/>
      <c r="Z20" s="234"/>
      <c r="AA20" s="210"/>
      <c r="AB20" s="210"/>
      <c r="AC20" s="210"/>
      <c r="AD20" s="210"/>
    </row>
    <row r="21" spans="1:30" ht="20.100000000000001" customHeight="1" x14ac:dyDescent="0.2">
      <c r="A21" s="7" t="s">
        <v>29</v>
      </c>
      <c r="B21" s="8"/>
      <c r="C21" s="9"/>
      <c r="D21" s="6"/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6"/>
      <c r="S21" s="123"/>
      <c r="T21" s="63"/>
      <c r="U21" s="210"/>
      <c r="V21" s="210"/>
      <c r="W21" s="210"/>
      <c r="X21" s="210"/>
      <c r="Y21" s="210"/>
      <c r="Z21" s="234"/>
      <c r="AA21" s="210"/>
      <c r="AB21" s="210"/>
      <c r="AC21" s="210"/>
      <c r="AD21" s="210"/>
    </row>
    <row r="22" spans="1:30" ht="20.100000000000001" customHeight="1" x14ac:dyDescent="0.2">
      <c r="A22" s="120" t="s">
        <v>30</v>
      </c>
      <c r="B22" s="8"/>
      <c r="C22" s="9"/>
      <c r="D22" s="6">
        <v>1012</v>
      </c>
      <c r="E22" s="6">
        <v>1331</v>
      </c>
      <c r="F22" s="6">
        <v>1541</v>
      </c>
      <c r="G22" s="6">
        <v>1392</v>
      </c>
      <c r="H22" s="6">
        <v>1649</v>
      </c>
      <c r="I22" s="6">
        <v>1668</v>
      </c>
      <c r="J22" s="6">
        <v>1700</v>
      </c>
      <c r="K22" s="6">
        <v>1600</v>
      </c>
      <c r="L22" s="5">
        <v>1600</v>
      </c>
      <c r="M22" s="5">
        <v>1600</v>
      </c>
      <c r="N22" s="5">
        <v>1580</v>
      </c>
      <c r="O22" s="5">
        <v>1475</v>
      </c>
      <c r="P22" s="5">
        <v>1342</v>
      </c>
      <c r="Q22" s="5">
        <v>1307</v>
      </c>
      <c r="R22" s="6">
        <v>1169</v>
      </c>
      <c r="S22" s="123">
        <v>1105</v>
      </c>
      <c r="T22" s="63">
        <v>1098.02</v>
      </c>
      <c r="U22" s="123">
        <v>1113</v>
      </c>
      <c r="V22" s="63">
        <v>1258</v>
      </c>
      <c r="W22" s="63">
        <v>1569</v>
      </c>
      <c r="X22" s="63">
        <v>1617</v>
      </c>
      <c r="Y22" s="63">
        <v>1760</v>
      </c>
      <c r="Z22" s="211">
        <v>1733</v>
      </c>
      <c r="AA22" s="63">
        <v>1678</v>
      </c>
      <c r="AB22" s="63">
        <v>1305</v>
      </c>
      <c r="AC22" s="63">
        <v>1975</v>
      </c>
      <c r="AD22" s="63">
        <v>1889</v>
      </c>
    </row>
    <row r="23" spans="1:30" ht="20.100000000000001" customHeight="1" x14ac:dyDescent="0.2">
      <c r="A23" s="120" t="s">
        <v>31</v>
      </c>
      <c r="B23" s="8"/>
      <c r="C23" s="9"/>
      <c r="D23" s="6"/>
      <c r="E23" s="6"/>
      <c r="F23" s="6"/>
      <c r="G23" s="6">
        <v>40</v>
      </c>
      <c r="H23" s="6">
        <v>57</v>
      </c>
      <c r="I23" s="6">
        <v>57</v>
      </c>
      <c r="J23" s="6">
        <v>90</v>
      </c>
      <c r="K23" s="6">
        <v>160</v>
      </c>
      <c r="L23" s="5">
        <v>170</v>
      </c>
      <c r="M23" s="5">
        <v>140</v>
      </c>
      <c r="N23" s="5">
        <v>130</v>
      </c>
      <c r="O23" s="5">
        <v>123</v>
      </c>
      <c r="P23" s="5">
        <v>126</v>
      </c>
      <c r="Q23" s="5">
        <v>136</v>
      </c>
      <c r="R23" s="6">
        <v>194</v>
      </c>
      <c r="S23" s="123">
        <v>108</v>
      </c>
      <c r="T23" s="63">
        <v>207.48999999999998</v>
      </c>
      <c r="U23" s="123">
        <v>147</v>
      </c>
      <c r="V23" s="63">
        <v>151</v>
      </c>
      <c r="W23" s="63">
        <v>129</v>
      </c>
      <c r="X23" s="63">
        <v>139</v>
      </c>
      <c r="Y23" s="63">
        <v>65</v>
      </c>
      <c r="Z23" s="211">
        <v>129</v>
      </c>
      <c r="AA23" s="63">
        <v>199</v>
      </c>
      <c r="AB23" s="63">
        <v>151</v>
      </c>
      <c r="AC23" s="63">
        <v>361</v>
      </c>
      <c r="AD23" s="63">
        <v>308</v>
      </c>
    </row>
    <row r="24" spans="1:30" ht="20.100000000000001" customHeight="1" x14ac:dyDescent="0.2">
      <c r="A24" s="7" t="s">
        <v>33</v>
      </c>
      <c r="B24" s="8"/>
      <c r="C24" s="9"/>
      <c r="D24" s="6">
        <v>62</v>
      </c>
      <c r="E24" s="6">
        <v>70</v>
      </c>
      <c r="F24" s="6">
        <v>85</v>
      </c>
      <c r="G24" s="6">
        <v>96</v>
      </c>
      <c r="H24" s="6">
        <v>68</v>
      </c>
      <c r="I24" s="6">
        <v>80</v>
      </c>
      <c r="J24" s="6">
        <v>80</v>
      </c>
      <c r="K24" s="6">
        <v>74</v>
      </c>
      <c r="L24" s="5">
        <v>90</v>
      </c>
      <c r="M24" s="5">
        <v>60</v>
      </c>
      <c r="N24" s="5">
        <v>90</v>
      </c>
      <c r="O24" s="5">
        <v>101</v>
      </c>
      <c r="P24" s="5">
        <v>89</v>
      </c>
      <c r="Q24" s="5">
        <v>72</v>
      </c>
      <c r="R24" s="5">
        <v>52</v>
      </c>
      <c r="S24" s="123">
        <v>19</v>
      </c>
      <c r="T24" s="63">
        <v>84.34999999999998</v>
      </c>
      <c r="U24" s="210"/>
      <c r="V24" s="210"/>
      <c r="W24" s="210">
        <v>128</v>
      </c>
      <c r="X24" s="210">
        <v>113</v>
      </c>
      <c r="Y24" s="210">
        <v>133</v>
      </c>
      <c r="Z24" s="234">
        <v>165</v>
      </c>
      <c r="AA24" s="210">
        <v>212</v>
      </c>
      <c r="AB24" s="210">
        <v>117</v>
      </c>
      <c r="AC24" s="210">
        <v>265</v>
      </c>
      <c r="AD24" s="210">
        <v>243</v>
      </c>
    </row>
    <row r="25" spans="1:30" ht="20.100000000000001" customHeight="1" x14ac:dyDescent="0.2">
      <c r="A25" s="7" t="s">
        <v>63</v>
      </c>
      <c r="B25" s="8"/>
      <c r="C25" s="9"/>
      <c r="D25" s="6"/>
      <c r="E25" s="6"/>
      <c r="F25" s="6">
        <v>28</v>
      </c>
      <c r="G25" s="6">
        <v>7</v>
      </c>
      <c r="H25" s="6">
        <v>7</v>
      </c>
      <c r="I25" s="6">
        <v>7</v>
      </c>
      <c r="J25" s="6">
        <v>7</v>
      </c>
      <c r="K25" s="6">
        <v>0</v>
      </c>
      <c r="L25" s="5"/>
      <c r="M25" s="5"/>
      <c r="N25" s="5"/>
      <c r="O25" s="5"/>
      <c r="P25" s="5"/>
      <c r="Q25" s="5"/>
      <c r="R25" s="143"/>
      <c r="S25" s="123"/>
      <c r="T25" s="63">
        <v>8</v>
      </c>
      <c r="U25" s="210"/>
      <c r="V25" s="210"/>
      <c r="W25" s="210"/>
      <c r="X25" s="210"/>
      <c r="Y25" s="210"/>
      <c r="Z25" s="234"/>
      <c r="AA25" s="210"/>
      <c r="AB25" s="210"/>
      <c r="AC25" s="210"/>
      <c r="AD25" s="210"/>
    </row>
    <row r="26" spans="1:30" ht="20.100000000000001" customHeight="1" x14ac:dyDescent="0.2">
      <c r="A26" s="7" t="s">
        <v>34</v>
      </c>
      <c r="B26" s="8"/>
      <c r="C26" s="9"/>
      <c r="D26" s="6"/>
      <c r="E26" s="6"/>
      <c r="F26" s="6"/>
      <c r="G26" s="6"/>
      <c r="H26" s="6"/>
      <c r="I26" s="6"/>
      <c r="J26" s="6"/>
      <c r="K26" s="5"/>
      <c r="L26" s="5"/>
      <c r="M26" s="5"/>
      <c r="N26" s="5"/>
      <c r="O26" s="5">
        <v>11</v>
      </c>
      <c r="P26" s="5">
        <v>11</v>
      </c>
      <c r="Q26" s="5">
        <v>11</v>
      </c>
      <c r="R26" s="6">
        <v>10</v>
      </c>
      <c r="S26" s="123"/>
      <c r="U26" s="210"/>
      <c r="V26" s="210"/>
      <c r="W26" s="210"/>
      <c r="X26" s="210"/>
      <c r="Y26" s="210"/>
      <c r="Z26" s="234"/>
      <c r="AA26" s="210"/>
      <c r="AB26" s="210"/>
      <c r="AC26" s="210"/>
      <c r="AD26" s="210"/>
    </row>
    <row r="27" spans="1:30" ht="20.100000000000001" customHeight="1" x14ac:dyDescent="0.2">
      <c r="A27" s="7" t="s">
        <v>35</v>
      </c>
      <c r="B27" s="8"/>
      <c r="C27" s="9"/>
      <c r="D27" s="6"/>
      <c r="E27" s="6">
        <v>90</v>
      </c>
      <c r="F27" s="6"/>
      <c r="G27" s="6"/>
      <c r="H27" s="6"/>
      <c r="I27" s="6"/>
      <c r="J27" s="6"/>
      <c r="K27" s="5"/>
      <c r="L27" s="5"/>
      <c r="M27" s="5"/>
      <c r="N27" s="5"/>
      <c r="O27" s="5"/>
      <c r="P27" s="5"/>
      <c r="Q27" s="5"/>
      <c r="R27" s="5"/>
      <c r="S27" s="123"/>
      <c r="T27" s="5"/>
      <c r="U27" s="5"/>
      <c r="V27" s="5"/>
      <c r="W27" s="5"/>
      <c r="X27" s="5"/>
      <c r="Y27" s="5"/>
      <c r="Z27" s="212"/>
      <c r="AA27" s="5"/>
      <c r="AB27" s="5"/>
      <c r="AC27" s="5"/>
      <c r="AD27" s="5"/>
    </row>
    <row r="28" spans="1:30" ht="20.100000000000001" customHeight="1" x14ac:dyDescent="0.2">
      <c r="A28" s="256" t="s">
        <v>36</v>
      </c>
      <c r="B28" s="257"/>
      <c r="C28" s="258"/>
      <c r="D28" s="79">
        <v>6098</v>
      </c>
      <c r="E28" s="79">
        <v>5814</v>
      </c>
      <c r="F28" s="79">
        <v>6947</v>
      </c>
      <c r="G28" s="79">
        <v>7090</v>
      </c>
      <c r="H28" s="79">
        <v>8997</v>
      </c>
      <c r="I28" s="79">
        <v>9519</v>
      </c>
      <c r="J28" s="79">
        <f t="shared" ref="J28:R28" si="4">SUM(J17:J27)</f>
        <v>8888</v>
      </c>
      <c r="K28" s="79">
        <f t="shared" si="4"/>
        <v>7362</v>
      </c>
      <c r="L28" s="79">
        <f t="shared" si="4"/>
        <v>7110</v>
      </c>
      <c r="M28" s="79">
        <f t="shared" si="4"/>
        <v>8890</v>
      </c>
      <c r="N28" s="79">
        <f t="shared" si="4"/>
        <v>8700</v>
      </c>
      <c r="O28" s="79">
        <f t="shared" si="4"/>
        <v>8854</v>
      </c>
      <c r="P28" s="79">
        <f t="shared" si="4"/>
        <v>8416</v>
      </c>
      <c r="Q28" s="79">
        <f t="shared" si="4"/>
        <v>8140</v>
      </c>
      <c r="R28" s="79">
        <f t="shared" si="4"/>
        <v>8046</v>
      </c>
      <c r="S28" s="79">
        <f>SUM(S17:S27)</f>
        <v>7492</v>
      </c>
      <c r="T28" s="79">
        <f t="shared" ref="T28:AA28" si="5">SUM(T17:T27)</f>
        <v>7546.2000000000007</v>
      </c>
      <c r="U28" s="79">
        <f t="shared" si="5"/>
        <v>7197</v>
      </c>
      <c r="V28" s="79">
        <f t="shared" si="5"/>
        <v>8317</v>
      </c>
      <c r="W28" s="79">
        <f t="shared" si="5"/>
        <v>9599</v>
      </c>
      <c r="X28" s="79">
        <f t="shared" si="5"/>
        <v>9833</v>
      </c>
      <c r="Y28" s="79">
        <f t="shared" si="5"/>
        <v>9817</v>
      </c>
      <c r="Z28" s="79">
        <f t="shared" si="5"/>
        <v>9620</v>
      </c>
      <c r="AA28" s="79">
        <f t="shared" si="5"/>
        <v>10100</v>
      </c>
      <c r="AB28" s="79">
        <f t="shared" ref="AB28" si="6">SUM(AB17:AB27)</f>
        <v>7975</v>
      </c>
      <c r="AC28" s="79">
        <f t="shared" ref="AC28:AD28" si="7">SUM(AC17:AC27)</f>
        <v>10604</v>
      </c>
      <c r="AD28" s="79">
        <f t="shared" si="7"/>
        <v>10007</v>
      </c>
    </row>
    <row r="29" spans="1:30" ht="20.100000000000001" customHeight="1" x14ac:dyDescent="0.2">
      <c r="A29" s="7" t="s">
        <v>37</v>
      </c>
      <c r="B29" s="8"/>
      <c r="C29" s="9"/>
      <c r="D29" s="6">
        <v>521</v>
      </c>
      <c r="E29" s="6">
        <v>672</v>
      </c>
      <c r="F29" s="6">
        <v>533</v>
      </c>
      <c r="G29" s="6">
        <v>552</v>
      </c>
      <c r="H29" s="6">
        <v>668</v>
      </c>
      <c r="I29" s="6">
        <v>628</v>
      </c>
      <c r="J29" s="6">
        <v>470</v>
      </c>
      <c r="K29" s="6">
        <v>450</v>
      </c>
      <c r="L29" s="5">
        <v>660</v>
      </c>
      <c r="M29" s="5">
        <v>740</v>
      </c>
      <c r="N29" s="5">
        <v>780</v>
      </c>
      <c r="O29" s="5">
        <v>598</v>
      </c>
      <c r="P29" s="5">
        <v>384</v>
      </c>
      <c r="Q29" s="5">
        <v>400</v>
      </c>
      <c r="R29" s="6">
        <v>463</v>
      </c>
      <c r="S29" s="123">
        <v>493</v>
      </c>
      <c r="T29" s="124">
        <v>584.51</v>
      </c>
      <c r="U29" s="124">
        <v>542</v>
      </c>
      <c r="V29" s="124">
        <v>590</v>
      </c>
      <c r="W29" s="124">
        <v>511</v>
      </c>
      <c r="X29" s="124">
        <v>589</v>
      </c>
      <c r="Y29" s="124">
        <v>587</v>
      </c>
      <c r="Z29" s="211">
        <v>438</v>
      </c>
      <c r="AA29" s="124">
        <v>535</v>
      </c>
      <c r="AB29" s="124">
        <v>387</v>
      </c>
      <c r="AC29" s="124">
        <v>640</v>
      </c>
      <c r="AD29" s="124">
        <v>658</v>
      </c>
    </row>
    <row r="30" spans="1:30" ht="20.100000000000001" customHeight="1" x14ac:dyDescent="0.2">
      <c r="A30" s="10" t="s">
        <v>38</v>
      </c>
      <c r="B30" s="11"/>
      <c r="C30" s="12"/>
      <c r="D30" s="6"/>
      <c r="E30" s="6">
        <v>1</v>
      </c>
      <c r="F30" s="6">
        <v>5</v>
      </c>
      <c r="G30" s="6">
        <v>14</v>
      </c>
      <c r="H30" s="6">
        <v>6</v>
      </c>
      <c r="I30" s="6">
        <v>5</v>
      </c>
      <c r="J30" s="6">
        <v>9</v>
      </c>
      <c r="K30" s="6">
        <v>8</v>
      </c>
      <c r="L30" s="5">
        <v>10</v>
      </c>
      <c r="M30" s="5">
        <v>16</v>
      </c>
      <c r="N30" s="5">
        <v>4</v>
      </c>
      <c r="O30" s="5">
        <v>7</v>
      </c>
      <c r="P30" s="5">
        <v>7</v>
      </c>
      <c r="Q30" s="5"/>
      <c r="R30" s="6"/>
      <c r="S30" s="123"/>
      <c r="T30" s="124">
        <v>8.2000000000000011</v>
      </c>
      <c r="U30" s="124"/>
      <c r="V30" s="124"/>
      <c r="W30" s="124"/>
      <c r="X30" s="124">
        <v>27</v>
      </c>
      <c r="Y30" s="124">
        <v>22</v>
      </c>
      <c r="Z30" s="211">
        <v>21</v>
      </c>
      <c r="AA30" s="124">
        <v>11</v>
      </c>
      <c r="AB30" s="124">
        <v>8</v>
      </c>
      <c r="AC30" s="124">
        <v>31</v>
      </c>
      <c r="AD30" s="124">
        <v>44</v>
      </c>
    </row>
    <row r="31" spans="1:30" ht="20.100000000000001" customHeight="1" x14ac:dyDescent="0.2">
      <c r="A31" s="7" t="s">
        <v>39</v>
      </c>
      <c r="B31" s="8"/>
      <c r="C31" s="9"/>
      <c r="D31" s="6"/>
      <c r="E31" s="6"/>
      <c r="F31" s="6"/>
      <c r="G31" s="6"/>
      <c r="H31" s="6"/>
      <c r="I31" s="6"/>
      <c r="J31" s="6"/>
      <c r="K31" s="5"/>
      <c r="L31" s="5"/>
      <c r="M31" s="5"/>
      <c r="N31" s="5"/>
      <c r="O31" s="5"/>
      <c r="P31" s="5"/>
      <c r="Q31" s="5"/>
      <c r="R31" s="6"/>
      <c r="S31" s="123"/>
      <c r="T31" s="123"/>
      <c r="U31" s="123"/>
      <c r="V31" s="123"/>
      <c r="W31" s="123"/>
      <c r="X31" s="123"/>
      <c r="Y31" s="123"/>
      <c r="Z31" s="212"/>
      <c r="AA31" s="123"/>
      <c r="AB31" s="123"/>
      <c r="AC31" s="123"/>
      <c r="AD31" s="123"/>
    </row>
    <row r="32" spans="1:30" ht="20.100000000000001" customHeight="1" x14ac:dyDescent="0.2">
      <c r="A32" s="10" t="s">
        <v>40</v>
      </c>
      <c r="B32" s="8"/>
      <c r="C32" s="9"/>
      <c r="D32" s="6"/>
      <c r="E32" s="6"/>
      <c r="F32" s="6"/>
      <c r="G32" s="6"/>
      <c r="H32" s="6"/>
      <c r="I32" s="6"/>
      <c r="J32" s="6"/>
      <c r="K32" s="5"/>
      <c r="L32" s="5"/>
      <c r="M32" s="5"/>
      <c r="N32" s="5"/>
      <c r="O32" s="5"/>
      <c r="P32" s="5"/>
      <c r="Q32" s="5"/>
      <c r="R32" s="6"/>
      <c r="S32" s="123"/>
      <c r="T32" s="123"/>
      <c r="U32" s="123"/>
      <c r="V32" s="123"/>
      <c r="W32" s="123"/>
      <c r="X32" s="123"/>
      <c r="Y32" s="123"/>
      <c r="Z32" s="212"/>
      <c r="AA32" s="123"/>
      <c r="AB32" s="123"/>
      <c r="AC32" s="123"/>
      <c r="AD32" s="123"/>
    </row>
    <row r="33" spans="1:30" ht="20.100000000000001" customHeight="1" x14ac:dyDescent="0.2">
      <c r="A33" s="7" t="s">
        <v>41</v>
      </c>
      <c r="B33" s="8"/>
      <c r="C33" s="9"/>
      <c r="D33" s="6"/>
      <c r="E33" s="6">
        <v>4</v>
      </c>
      <c r="F33" s="6">
        <v>8</v>
      </c>
      <c r="G33" s="6">
        <v>16</v>
      </c>
      <c r="H33" s="6">
        <v>20</v>
      </c>
      <c r="I33" s="6">
        <v>5</v>
      </c>
      <c r="J33" s="6">
        <v>5</v>
      </c>
      <c r="K33" s="6">
        <v>0</v>
      </c>
      <c r="L33" s="5"/>
      <c r="M33" s="5"/>
      <c r="N33" s="5"/>
      <c r="O33" s="5"/>
      <c r="P33" s="5">
        <v>234</v>
      </c>
      <c r="Q33" s="5">
        <v>572</v>
      </c>
      <c r="R33" s="6"/>
      <c r="S33" s="123"/>
      <c r="T33" s="124">
        <v>104.53</v>
      </c>
      <c r="U33" s="124">
        <v>208</v>
      </c>
      <c r="V33" s="124">
        <v>269</v>
      </c>
      <c r="W33" s="124">
        <v>366</v>
      </c>
      <c r="X33" s="124">
        <v>761</v>
      </c>
      <c r="Y33" s="124">
        <v>819</v>
      </c>
      <c r="Z33" s="211">
        <v>786</v>
      </c>
      <c r="AA33" s="124">
        <v>964</v>
      </c>
      <c r="AB33" s="124">
        <v>467</v>
      </c>
      <c r="AC33" s="124">
        <v>529</v>
      </c>
      <c r="AD33" s="124">
        <v>587</v>
      </c>
    </row>
    <row r="34" spans="1:30" ht="20.100000000000001" customHeight="1" x14ac:dyDescent="0.2">
      <c r="A34" s="7" t="s">
        <v>42</v>
      </c>
      <c r="B34" s="8"/>
      <c r="C34" s="9"/>
      <c r="D34" s="6"/>
      <c r="E34" s="6"/>
      <c r="F34" s="6"/>
      <c r="G34" s="6"/>
      <c r="H34" s="6"/>
      <c r="I34" s="6"/>
      <c r="J34" s="6"/>
      <c r="K34" s="5"/>
      <c r="L34" s="5"/>
      <c r="M34" s="5"/>
      <c r="N34" s="5"/>
      <c r="O34" s="5"/>
      <c r="P34" s="5"/>
      <c r="Q34" s="5">
        <v>13</v>
      </c>
      <c r="R34" s="6"/>
      <c r="S34" s="123"/>
      <c r="T34" s="124">
        <v>5.83</v>
      </c>
      <c r="U34" s="124"/>
      <c r="V34" s="124"/>
      <c r="W34" s="124"/>
      <c r="X34" s="124"/>
      <c r="Y34" s="124"/>
      <c r="Z34" s="211"/>
      <c r="AA34" s="124"/>
      <c r="AB34" s="124"/>
      <c r="AC34" s="124"/>
      <c r="AD34" s="124"/>
    </row>
    <row r="35" spans="1:30" ht="20.100000000000001" customHeight="1" x14ac:dyDescent="0.2">
      <c r="A35" s="7" t="s">
        <v>43</v>
      </c>
      <c r="B35" s="8"/>
      <c r="C35" s="9"/>
      <c r="D35" s="6">
        <v>156</v>
      </c>
      <c r="E35" s="6">
        <v>131</v>
      </c>
      <c r="F35" s="6">
        <v>112</v>
      </c>
      <c r="G35" s="6">
        <v>180</v>
      </c>
      <c r="H35" s="6">
        <v>132</v>
      </c>
      <c r="I35" s="6">
        <v>173</v>
      </c>
      <c r="J35" s="6">
        <v>130</v>
      </c>
      <c r="K35" s="6">
        <v>141</v>
      </c>
      <c r="L35" s="5">
        <v>160</v>
      </c>
      <c r="M35" s="5">
        <v>230</v>
      </c>
      <c r="N35" s="5">
        <v>200</v>
      </c>
      <c r="O35" s="5"/>
      <c r="P35" s="5">
        <v>285</v>
      </c>
      <c r="Q35" s="5">
        <v>424</v>
      </c>
      <c r="R35" s="143">
        <v>461</v>
      </c>
      <c r="S35" s="123">
        <v>518</v>
      </c>
      <c r="T35" s="124">
        <v>457.96999999999991</v>
      </c>
      <c r="U35" s="124">
        <v>597</v>
      </c>
      <c r="V35" s="124">
        <v>1037</v>
      </c>
      <c r="W35" s="124">
        <v>957</v>
      </c>
      <c r="X35" s="124">
        <v>647</v>
      </c>
      <c r="Y35" s="124">
        <v>562</v>
      </c>
      <c r="Z35" s="211">
        <v>841</v>
      </c>
      <c r="AA35" s="124">
        <v>1462</v>
      </c>
      <c r="AB35" s="124">
        <v>752</v>
      </c>
      <c r="AC35" s="124">
        <v>1967</v>
      </c>
      <c r="AD35" s="124">
        <v>2016</v>
      </c>
    </row>
    <row r="36" spans="1:30" ht="20.100000000000001" customHeight="1" x14ac:dyDescent="0.2">
      <c r="A36" s="7" t="s">
        <v>44</v>
      </c>
      <c r="B36" s="8"/>
      <c r="C36" s="9"/>
      <c r="D36" s="6"/>
      <c r="E36" s="6">
        <v>1</v>
      </c>
      <c r="F36" s="6">
        <v>15</v>
      </c>
      <c r="G36" s="6">
        <v>15</v>
      </c>
      <c r="H36" s="6"/>
      <c r="I36" s="6"/>
      <c r="J36" s="6"/>
      <c r="K36" s="5"/>
      <c r="L36" s="5"/>
      <c r="M36" s="5"/>
      <c r="N36" s="5"/>
      <c r="O36" s="5">
        <v>6</v>
      </c>
      <c r="P36" s="5"/>
      <c r="Q36" s="5"/>
      <c r="R36" s="5"/>
      <c r="S36" s="123"/>
      <c r="T36" s="5"/>
      <c r="U36" s="5"/>
      <c r="V36" s="5"/>
      <c r="W36" s="5"/>
      <c r="X36" s="5"/>
      <c r="Y36" s="5"/>
      <c r="Z36" s="212"/>
      <c r="AA36" s="5"/>
      <c r="AB36" s="5"/>
      <c r="AC36" s="5"/>
      <c r="AD36" s="5"/>
    </row>
    <row r="37" spans="1:30" ht="20.100000000000001" customHeight="1" x14ac:dyDescent="0.2">
      <c r="A37" s="256" t="s">
        <v>45</v>
      </c>
      <c r="B37" s="257"/>
      <c r="C37" s="258"/>
      <c r="D37" s="259">
        <v>677</v>
      </c>
      <c r="E37" s="259">
        <v>809</v>
      </c>
      <c r="F37" s="259">
        <v>673</v>
      </c>
      <c r="G37" s="259">
        <v>579</v>
      </c>
      <c r="H37" s="259">
        <v>701</v>
      </c>
      <c r="I37" s="259">
        <v>811</v>
      </c>
      <c r="J37" s="79">
        <f t="shared" ref="J37:R37" si="8">SUM(J29:J36)</f>
        <v>614</v>
      </c>
      <c r="K37" s="79">
        <f t="shared" si="8"/>
        <v>599</v>
      </c>
      <c r="L37" s="79">
        <f t="shared" si="8"/>
        <v>830</v>
      </c>
      <c r="M37" s="79">
        <f t="shared" si="8"/>
        <v>986</v>
      </c>
      <c r="N37" s="79">
        <f t="shared" si="8"/>
        <v>984</v>
      </c>
      <c r="O37" s="79">
        <f t="shared" si="8"/>
        <v>611</v>
      </c>
      <c r="P37" s="79">
        <f t="shared" si="8"/>
        <v>910</v>
      </c>
      <c r="Q37" s="79">
        <f t="shared" si="8"/>
        <v>1409</v>
      </c>
      <c r="R37" s="79">
        <f t="shared" si="8"/>
        <v>924</v>
      </c>
      <c r="S37" s="79">
        <f>SUM(S29:S36)</f>
        <v>1011</v>
      </c>
      <c r="T37" s="79">
        <f t="shared" ref="T37:AA37" si="9">SUM(T29:T36)</f>
        <v>1161.04</v>
      </c>
      <c r="U37" s="79">
        <f t="shared" si="9"/>
        <v>1347</v>
      </c>
      <c r="V37" s="79">
        <f t="shared" si="9"/>
        <v>1896</v>
      </c>
      <c r="W37" s="79">
        <f t="shared" si="9"/>
        <v>1834</v>
      </c>
      <c r="X37" s="79">
        <f t="shared" si="9"/>
        <v>2024</v>
      </c>
      <c r="Y37" s="79">
        <f t="shared" si="9"/>
        <v>1990</v>
      </c>
      <c r="Z37" s="79">
        <f t="shared" si="9"/>
        <v>2086</v>
      </c>
      <c r="AA37" s="79">
        <f t="shared" si="9"/>
        <v>2972</v>
      </c>
      <c r="AB37" s="79">
        <f t="shared" ref="AB37" si="10">SUM(AB29:AB36)</f>
        <v>1614</v>
      </c>
      <c r="AC37" s="79">
        <f t="shared" ref="AC37:AD37" si="11">SUM(AC29:AC36)</f>
        <v>3167</v>
      </c>
      <c r="AD37" s="79">
        <f t="shared" si="11"/>
        <v>3305</v>
      </c>
    </row>
    <row r="38" spans="1:30" ht="20.100000000000001" customHeight="1" x14ac:dyDescent="0.2">
      <c r="A38" s="7" t="s">
        <v>64</v>
      </c>
      <c r="B38" s="8"/>
      <c r="C38" s="9"/>
      <c r="D38" s="5"/>
      <c r="E38" s="5">
        <v>1</v>
      </c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123"/>
      <c r="T38" s="5"/>
      <c r="U38" s="5"/>
      <c r="V38" s="5"/>
      <c r="W38" s="5"/>
      <c r="X38" s="5"/>
      <c r="Y38" s="5"/>
      <c r="Z38" s="212"/>
      <c r="AA38" s="5"/>
      <c r="AB38" s="5"/>
      <c r="AC38" s="5"/>
      <c r="AD38" s="5"/>
    </row>
    <row r="39" spans="1:30" ht="20.100000000000001" customHeight="1" x14ac:dyDescent="0.2">
      <c r="A39" s="7" t="s">
        <v>47</v>
      </c>
      <c r="B39" s="8"/>
      <c r="C39" s="9"/>
      <c r="D39" s="5">
        <v>247</v>
      </c>
      <c r="E39" s="5">
        <v>185</v>
      </c>
      <c r="F39" s="5">
        <v>145</v>
      </c>
      <c r="G39" s="5">
        <v>53</v>
      </c>
      <c r="H39" s="5">
        <v>88</v>
      </c>
      <c r="I39" s="5">
        <v>65</v>
      </c>
      <c r="J39" s="5">
        <v>70</v>
      </c>
      <c r="K39" s="5">
        <v>30</v>
      </c>
      <c r="L39" s="5">
        <v>75</v>
      </c>
      <c r="M39" s="5">
        <v>75</v>
      </c>
      <c r="N39" s="5"/>
      <c r="O39" s="5"/>
      <c r="P39" s="5"/>
      <c r="Q39" s="5">
        <v>38</v>
      </c>
      <c r="R39" s="143">
        <v>40</v>
      </c>
      <c r="S39" s="123"/>
      <c r="T39" s="124">
        <v>9.48</v>
      </c>
      <c r="U39" s="5"/>
      <c r="V39" s="5"/>
      <c r="W39" s="5">
        <v>25</v>
      </c>
      <c r="X39" s="5">
        <v>24</v>
      </c>
      <c r="Y39" s="5"/>
      <c r="Z39" s="212"/>
      <c r="AA39" s="5"/>
      <c r="AB39" s="5">
        <v>15</v>
      </c>
      <c r="AC39" s="5">
        <v>34</v>
      </c>
      <c r="AD39" s="5">
        <v>14</v>
      </c>
    </row>
    <row r="40" spans="1:30" ht="20.100000000000001" customHeight="1" x14ac:dyDescent="0.2">
      <c r="A40" s="120" t="s">
        <v>48</v>
      </c>
      <c r="B40" s="8"/>
      <c r="C40" s="9"/>
      <c r="D40" s="5">
        <v>593</v>
      </c>
      <c r="E40" s="5">
        <v>680</v>
      </c>
      <c r="F40" s="5">
        <v>810</v>
      </c>
      <c r="G40" s="5">
        <v>743</v>
      </c>
      <c r="H40" s="5">
        <v>848</v>
      </c>
      <c r="I40" s="5">
        <v>742</v>
      </c>
      <c r="J40" s="5">
        <v>800</v>
      </c>
      <c r="K40" s="5">
        <v>900</v>
      </c>
      <c r="M40" s="5"/>
      <c r="N40" s="5"/>
      <c r="O40" s="5"/>
      <c r="P40" s="5"/>
      <c r="Q40" s="5"/>
      <c r="R40" s="5"/>
      <c r="S40" s="123"/>
      <c r="T40" s="124"/>
      <c r="U40" s="5"/>
      <c r="V40" s="5"/>
      <c r="W40" s="5"/>
      <c r="X40" s="5"/>
      <c r="Y40" s="5"/>
      <c r="Z40" s="212"/>
      <c r="AA40" s="5"/>
      <c r="AB40" s="5"/>
      <c r="AC40" s="5"/>
      <c r="AD40" s="5"/>
    </row>
    <row r="41" spans="1:30" ht="20.100000000000001" customHeight="1" x14ac:dyDescent="0.2">
      <c r="A41" s="120" t="s">
        <v>49</v>
      </c>
      <c r="B41" s="8"/>
      <c r="C41" s="9"/>
      <c r="D41" s="5"/>
      <c r="E41" s="5"/>
      <c r="F41" s="5"/>
      <c r="G41" s="5"/>
      <c r="H41" s="5"/>
      <c r="I41" s="5"/>
      <c r="J41" s="5"/>
      <c r="K41" s="5">
        <v>911</v>
      </c>
      <c r="L41" s="5">
        <v>1115</v>
      </c>
      <c r="M41" s="5">
        <v>1136</v>
      </c>
      <c r="N41" s="5">
        <v>705</v>
      </c>
      <c r="O41" s="5">
        <v>623</v>
      </c>
      <c r="P41" s="5">
        <v>651</v>
      </c>
      <c r="Q41" s="5">
        <v>1100</v>
      </c>
      <c r="R41" s="5">
        <v>949</v>
      </c>
      <c r="S41" s="123">
        <v>525</v>
      </c>
      <c r="T41" s="124">
        <v>537</v>
      </c>
      <c r="U41" s="5"/>
      <c r="V41" s="5"/>
      <c r="W41" s="5">
        <v>341</v>
      </c>
      <c r="X41" s="5">
        <v>471</v>
      </c>
      <c r="Y41" s="5">
        <v>413</v>
      </c>
      <c r="Z41" s="212">
        <v>300</v>
      </c>
      <c r="AA41" s="5">
        <v>210</v>
      </c>
      <c r="AB41" s="5">
        <v>227</v>
      </c>
      <c r="AC41" s="5">
        <v>415</v>
      </c>
      <c r="AD41" s="5">
        <v>388</v>
      </c>
    </row>
    <row r="42" spans="1:30" ht="20.100000000000001" customHeight="1" x14ac:dyDescent="0.2">
      <c r="A42" s="7" t="s">
        <v>50</v>
      </c>
      <c r="B42" s="8"/>
      <c r="C42" s="9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123"/>
      <c r="T42" s="124"/>
      <c r="U42" s="5"/>
      <c r="V42" s="5"/>
      <c r="W42" s="5"/>
      <c r="X42" s="5"/>
      <c r="Y42" s="5"/>
      <c r="Z42" s="212"/>
      <c r="AA42" s="5"/>
      <c r="AB42" s="5"/>
      <c r="AC42" s="5"/>
      <c r="AD42" s="5"/>
    </row>
    <row r="43" spans="1:30" ht="20.100000000000001" customHeight="1" x14ac:dyDescent="0.2">
      <c r="A43" s="7" t="s">
        <v>51</v>
      </c>
      <c r="B43" s="8"/>
      <c r="C43" s="9"/>
      <c r="D43" s="6">
        <v>1278</v>
      </c>
      <c r="E43" s="6">
        <v>1320</v>
      </c>
      <c r="F43" s="6">
        <v>1506</v>
      </c>
      <c r="G43" s="6">
        <v>1654</v>
      </c>
      <c r="H43" s="6">
        <v>1581</v>
      </c>
      <c r="I43" s="6">
        <v>1557</v>
      </c>
      <c r="J43" s="6">
        <v>1400</v>
      </c>
      <c r="K43" s="6">
        <v>1359</v>
      </c>
      <c r="L43" s="5">
        <v>1350</v>
      </c>
      <c r="M43" s="5">
        <v>1341</v>
      </c>
      <c r="N43" s="5">
        <v>1276</v>
      </c>
      <c r="O43" s="5">
        <v>1279</v>
      </c>
      <c r="P43" s="5">
        <v>1228</v>
      </c>
      <c r="Q43" s="5">
        <v>1220</v>
      </c>
      <c r="R43" s="5">
        <v>1143</v>
      </c>
      <c r="S43" s="123">
        <v>1133</v>
      </c>
      <c r="T43" s="124">
        <v>1109.4502699999996</v>
      </c>
      <c r="U43" s="5"/>
      <c r="V43" s="5"/>
      <c r="W43" s="5">
        <v>1031</v>
      </c>
      <c r="X43" s="5">
        <v>1102</v>
      </c>
      <c r="Y43" s="5">
        <v>1119</v>
      </c>
      <c r="Z43" s="212">
        <v>1073</v>
      </c>
      <c r="AA43" s="5">
        <v>1054</v>
      </c>
      <c r="AB43" s="5">
        <v>916</v>
      </c>
      <c r="AC43" s="5">
        <v>975</v>
      </c>
      <c r="AD43" s="5">
        <v>921</v>
      </c>
    </row>
    <row r="44" spans="1:30" ht="20.100000000000001" customHeight="1" x14ac:dyDescent="0.2">
      <c r="A44" s="7" t="s">
        <v>52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123"/>
      <c r="T44" s="5"/>
      <c r="U44" s="5"/>
      <c r="V44" s="5"/>
      <c r="W44" s="5"/>
      <c r="X44" s="5"/>
      <c r="Y44" s="5"/>
      <c r="Z44" s="212"/>
      <c r="AA44" s="5"/>
      <c r="AB44" s="5"/>
      <c r="AC44" s="5"/>
      <c r="AD44" s="5"/>
    </row>
    <row r="45" spans="1:30" ht="20.100000000000001" customHeight="1" x14ac:dyDescent="0.2">
      <c r="A45" s="7" t="s">
        <v>53</v>
      </c>
      <c r="B45" s="8"/>
      <c r="C45" s="9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123"/>
      <c r="T45" s="5"/>
      <c r="U45" s="5"/>
      <c r="V45" s="5"/>
      <c r="W45" s="5"/>
      <c r="X45" s="5"/>
      <c r="Y45" s="5"/>
      <c r="Z45" s="212"/>
      <c r="AA45" s="5"/>
      <c r="AB45" s="5"/>
      <c r="AC45" s="5"/>
      <c r="AD45" s="5"/>
    </row>
    <row r="46" spans="1:30" ht="20.100000000000001" customHeight="1" x14ac:dyDescent="0.2">
      <c r="A46" s="7" t="s">
        <v>54</v>
      </c>
      <c r="B46" s="8"/>
      <c r="C46" s="9"/>
      <c r="D46" s="5"/>
      <c r="E46" s="5"/>
      <c r="F46" s="5"/>
      <c r="G46" s="5"/>
      <c r="H46" s="5"/>
      <c r="I46" s="6"/>
      <c r="J46" s="6"/>
      <c r="K46" s="5"/>
      <c r="L46" s="5"/>
      <c r="M46" s="5"/>
      <c r="N46" s="5"/>
      <c r="O46" s="5"/>
      <c r="P46" s="5"/>
      <c r="Q46" s="5"/>
      <c r="R46" s="5"/>
      <c r="S46" s="123"/>
      <c r="T46" s="5"/>
      <c r="U46" s="5"/>
      <c r="V46" s="5"/>
      <c r="W46" s="5"/>
      <c r="X46" s="5"/>
      <c r="Y46" s="5"/>
      <c r="Z46" s="212"/>
      <c r="AA46" s="5"/>
      <c r="AB46" s="5"/>
      <c r="AC46" s="5"/>
      <c r="AD46" s="5"/>
    </row>
    <row r="47" spans="1:30" ht="20.100000000000001" customHeight="1" x14ac:dyDescent="0.2">
      <c r="A47" s="256" t="s">
        <v>55</v>
      </c>
      <c r="B47" s="257"/>
      <c r="C47" s="258"/>
      <c r="D47" s="79">
        <v>27129</v>
      </c>
      <c r="E47" s="79">
        <v>33820</v>
      </c>
      <c r="F47" s="79">
        <v>40165</v>
      </c>
      <c r="G47" s="79">
        <v>42220</v>
      </c>
      <c r="H47" s="79">
        <v>36690</v>
      </c>
      <c r="I47" s="79">
        <v>35857</v>
      </c>
      <c r="J47" s="79">
        <f>J16+J28+J37+J39+J40+J43</f>
        <v>35042</v>
      </c>
      <c r="K47" s="79">
        <f>K16+K28+K37+K39+K40+K43</f>
        <v>36514</v>
      </c>
      <c r="L47" s="79">
        <f t="shared" ref="L47:AA47" si="12">L16+L28+L37+L39+L41+L43</f>
        <v>39040</v>
      </c>
      <c r="M47" s="79">
        <f t="shared" si="12"/>
        <v>37128</v>
      </c>
      <c r="N47" s="79">
        <f t="shared" si="12"/>
        <v>34665</v>
      </c>
      <c r="O47" s="79">
        <f t="shared" si="12"/>
        <v>34497</v>
      </c>
      <c r="P47" s="79">
        <f t="shared" si="12"/>
        <v>35360</v>
      </c>
      <c r="Q47" s="79">
        <f t="shared" si="12"/>
        <v>32257</v>
      </c>
      <c r="R47" s="79">
        <f t="shared" si="12"/>
        <v>31703</v>
      </c>
      <c r="S47" s="79">
        <f t="shared" si="12"/>
        <v>33827</v>
      </c>
      <c r="T47" s="79">
        <f t="shared" si="12"/>
        <v>36472.390270000018</v>
      </c>
      <c r="U47" s="79">
        <f t="shared" si="12"/>
        <v>33643</v>
      </c>
      <c r="V47" s="79">
        <f t="shared" si="12"/>
        <v>34047</v>
      </c>
      <c r="W47" s="79">
        <f t="shared" si="12"/>
        <v>35402</v>
      </c>
      <c r="X47" s="79">
        <f t="shared" si="12"/>
        <v>35710</v>
      </c>
      <c r="Y47" s="79">
        <f t="shared" si="12"/>
        <v>37398</v>
      </c>
      <c r="Z47" s="79">
        <f t="shared" si="12"/>
        <v>36962</v>
      </c>
      <c r="AA47" s="79">
        <f t="shared" si="12"/>
        <v>40080</v>
      </c>
      <c r="AB47" s="79">
        <f t="shared" ref="AB47:AD47" si="13">AB16+AB28+AB37+AB39+AB41+AB43</f>
        <v>31449</v>
      </c>
      <c r="AC47" s="79">
        <f t="shared" si="13"/>
        <v>39510</v>
      </c>
      <c r="AD47" s="79">
        <f t="shared" si="13"/>
        <v>37692</v>
      </c>
    </row>
    <row r="48" spans="1:30" x14ac:dyDescent="0.2">
      <c r="Q48" t="s">
        <v>32</v>
      </c>
      <c r="Y48" s="64"/>
      <c r="Z48" s="64"/>
    </row>
    <row r="49" spans="9:9" x14ac:dyDescent="0.2">
      <c r="I49" s="23"/>
    </row>
  </sheetData>
  <mergeCells count="1">
    <mergeCell ref="A3:I3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78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D53"/>
  <sheetViews>
    <sheetView topLeftCell="A7" zoomScaleNormal="100" workbookViewId="0">
      <pane xSplit="2" topLeftCell="AD1" activePane="topRight" state="frozen"/>
      <selection activeCell="AA35" sqref="AA35"/>
      <selection pane="topRight" activeCell="AD6" sqref="AD6"/>
    </sheetView>
  </sheetViews>
  <sheetFormatPr defaultColWidth="11.42578125" defaultRowHeight="12.75" x14ac:dyDescent="0.2"/>
  <cols>
    <col min="1" max="1" width="9.140625" style="47" customWidth="1"/>
    <col min="2" max="2" width="17.140625" style="47" customWidth="1"/>
    <col min="3" max="3" width="5.140625" style="47" customWidth="1"/>
    <col min="4" max="9" width="11.42578125" style="47" hidden="1" customWidth="1"/>
    <col min="10" max="10" width="10.85546875" style="47" customWidth="1"/>
    <col min="11" max="11" width="9.140625" style="47" customWidth="1"/>
    <col min="12" max="13" width="9.140625" style="59" customWidth="1"/>
    <col min="14" max="14" width="0" style="47" hidden="1" customWidth="1"/>
    <col min="15" max="15" width="6.7109375" style="47" hidden="1" customWidth="1"/>
    <col min="16" max="16" width="14" style="47" hidden="1" customWidth="1"/>
    <col min="17" max="17" width="12.5703125" style="47" hidden="1" customWidth="1"/>
    <col min="18" max="18" width="0" style="47" hidden="1" customWidth="1"/>
    <col min="19" max="19" width="12.5703125" style="47" customWidth="1"/>
    <col min="20" max="20" width="11.85546875" style="160" customWidth="1"/>
    <col min="21" max="22" width="12.42578125" style="167" customWidth="1"/>
    <col min="23" max="24" width="11.7109375" style="47" customWidth="1"/>
    <col min="25" max="26" width="9.140625" style="47" customWidth="1"/>
    <col min="27" max="27" width="10.140625" style="47" bestFit="1" customWidth="1"/>
    <col min="28" max="29" width="9.140625" style="47" customWidth="1"/>
    <col min="30" max="30" width="10" style="47" customWidth="1"/>
    <col min="31" max="256" width="9.140625" style="47" customWidth="1"/>
    <col min="257" max="16384" width="11.42578125" style="47"/>
  </cols>
  <sheetData>
    <row r="1" spans="1:30" ht="17.100000000000001" customHeight="1" x14ac:dyDescent="0.2">
      <c r="A1" s="84" t="s">
        <v>65</v>
      </c>
      <c r="B1" s="85"/>
      <c r="C1" s="46"/>
      <c r="D1" s="46"/>
      <c r="E1" s="46"/>
      <c r="F1" s="46"/>
      <c r="G1" s="46"/>
      <c r="H1" s="46"/>
      <c r="I1" s="46"/>
    </row>
    <row r="2" spans="1:30" ht="17.100000000000001" customHeight="1" x14ac:dyDescent="0.2">
      <c r="A2" s="303" t="s">
        <v>10</v>
      </c>
      <c r="B2" s="303"/>
      <c r="C2" s="303"/>
      <c r="D2" s="303"/>
      <c r="E2" s="303"/>
      <c r="F2" s="303"/>
      <c r="G2" s="303"/>
      <c r="H2" s="303"/>
      <c r="I2" s="303"/>
    </row>
    <row r="3" spans="1:30" ht="13.5" customHeight="1" x14ac:dyDescent="0.2">
      <c r="A3" s="46"/>
      <c r="B3" s="46"/>
      <c r="C3" s="46"/>
      <c r="D3" s="46"/>
      <c r="E3" s="46"/>
      <c r="F3" s="46"/>
      <c r="G3" s="46"/>
      <c r="H3" s="46"/>
      <c r="I3" s="46"/>
    </row>
    <row r="4" spans="1:30" ht="30.75" customHeight="1" x14ac:dyDescent="0.2">
      <c r="A4" s="46"/>
      <c r="B4" s="46"/>
      <c r="C4" s="46"/>
      <c r="D4" s="46"/>
      <c r="E4" s="46"/>
      <c r="F4" s="46"/>
      <c r="G4" s="46"/>
      <c r="H4" s="46"/>
      <c r="I4" s="46"/>
      <c r="X4"/>
      <c r="Y4" s="198"/>
      <c r="Z4" s="200"/>
      <c r="AA4" s="200"/>
      <c r="AB4" s="240"/>
      <c r="AC4" s="240"/>
      <c r="AD4" s="240">
        <v>45037</v>
      </c>
    </row>
    <row r="5" spans="1:30" s="48" customFormat="1" ht="27.75" customHeight="1" x14ac:dyDescent="0.2">
      <c r="A5" s="86" t="s">
        <v>11</v>
      </c>
      <c r="B5" s="87"/>
      <c r="C5" s="88"/>
      <c r="D5" s="89">
        <v>1997</v>
      </c>
      <c r="E5" s="89">
        <v>1998</v>
      </c>
      <c r="F5" s="89">
        <v>1999</v>
      </c>
      <c r="G5" s="89">
        <v>2000</v>
      </c>
      <c r="H5" s="89">
        <v>2001</v>
      </c>
      <c r="I5" s="89">
        <v>2002</v>
      </c>
      <c r="J5" s="89">
        <v>2003</v>
      </c>
      <c r="K5" s="89">
        <v>2004</v>
      </c>
      <c r="L5" s="90">
        <v>2005</v>
      </c>
      <c r="M5" s="90">
        <v>2006</v>
      </c>
      <c r="N5" s="90">
        <v>2007</v>
      </c>
      <c r="O5" s="101">
        <v>2008</v>
      </c>
      <c r="P5" s="90">
        <v>2009</v>
      </c>
      <c r="Q5" s="90">
        <v>2010</v>
      </c>
      <c r="R5" s="90">
        <v>2011</v>
      </c>
      <c r="S5" s="90">
        <v>2012</v>
      </c>
      <c r="T5" s="90">
        <v>2013</v>
      </c>
      <c r="U5" s="90">
        <v>2014</v>
      </c>
      <c r="V5" s="90">
        <v>2015</v>
      </c>
      <c r="W5" s="90">
        <v>2016</v>
      </c>
      <c r="X5" s="90">
        <v>2017</v>
      </c>
      <c r="Y5" s="90">
        <v>2018</v>
      </c>
      <c r="Z5" s="90">
        <v>2019</v>
      </c>
      <c r="AA5" s="90">
        <v>2020</v>
      </c>
      <c r="AB5" s="90">
        <v>2021</v>
      </c>
      <c r="AC5" s="90">
        <v>2022</v>
      </c>
      <c r="AD5" s="90">
        <v>2023</v>
      </c>
    </row>
    <row r="6" spans="1:30" ht="20.100000000000001" customHeight="1" x14ac:dyDescent="0.2">
      <c r="A6" s="49" t="s">
        <v>13</v>
      </c>
      <c r="B6" s="50"/>
      <c r="C6" s="51"/>
      <c r="D6" s="52">
        <v>16889</v>
      </c>
      <c r="E6" s="52">
        <v>16147</v>
      </c>
      <c r="F6" s="52">
        <v>15798</v>
      </c>
      <c r="G6" s="52">
        <v>15483</v>
      </c>
      <c r="H6" s="52">
        <v>18303</v>
      </c>
      <c r="I6" s="52">
        <v>17338</v>
      </c>
      <c r="J6" s="52">
        <v>16656</v>
      </c>
      <c r="K6" s="52">
        <v>16109</v>
      </c>
      <c r="L6" s="52">
        <v>14916</v>
      </c>
      <c r="M6" s="52">
        <v>12953</v>
      </c>
      <c r="N6" s="52">
        <v>13666</v>
      </c>
      <c r="O6" s="52">
        <v>15452</v>
      </c>
      <c r="P6" s="52">
        <v>15281</v>
      </c>
      <c r="Q6" s="52">
        <v>12072</v>
      </c>
      <c r="R6" s="52">
        <v>11888</v>
      </c>
      <c r="S6" s="52">
        <v>12733</v>
      </c>
      <c r="T6" s="196">
        <v>13636</v>
      </c>
      <c r="U6" s="196">
        <f>14187+5070</f>
        <v>19257</v>
      </c>
      <c r="V6" s="196">
        <v>13925</v>
      </c>
      <c r="W6" s="196">
        <v>12404</v>
      </c>
      <c r="X6" s="196">
        <v>12550</v>
      </c>
      <c r="Y6" s="196">
        <v>11780</v>
      </c>
      <c r="Z6" s="196">
        <v>13139</v>
      </c>
      <c r="AA6" s="196">
        <v>13373</v>
      </c>
      <c r="AB6" s="196">
        <v>12720</v>
      </c>
      <c r="AC6" s="196">
        <v>12299</v>
      </c>
      <c r="AD6" s="196">
        <v>1371</v>
      </c>
    </row>
    <row r="7" spans="1:30" ht="20.100000000000001" customHeight="1" x14ac:dyDescent="0.2">
      <c r="A7" s="49" t="s">
        <v>14</v>
      </c>
      <c r="B7" s="50"/>
      <c r="C7" s="51"/>
      <c r="D7" s="52">
        <v>31883</v>
      </c>
      <c r="E7" s="52">
        <v>32471</v>
      </c>
      <c r="F7" s="52">
        <v>25226</v>
      </c>
      <c r="G7" s="52">
        <v>23445</v>
      </c>
      <c r="H7" s="52">
        <v>23142</v>
      </c>
      <c r="I7" s="52">
        <v>24430</v>
      </c>
      <c r="J7" s="52">
        <v>22082</v>
      </c>
      <c r="K7" s="52">
        <v>22631</v>
      </c>
      <c r="L7" s="52">
        <v>21508</v>
      </c>
      <c r="M7" s="52">
        <v>22051</v>
      </c>
      <c r="N7" s="52">
        <v>22294</v>
      </c>
      <c r="O7" s="52">
        <v>24318</v>
      </c>
      <c r="P7" s="52">
        <v>26065</v>
      </c>
      <c r="Q7" s="52">
        <v>22808</v>
      </c>
      <c r="R7" s="52">
        <v>20025</v>
      </c>
      <c r="S7" s="52">
        <v>22762</v>
      </c>
      <c r="T7" s="196">
        <v>23950</v>
      </c>
      <c r="U7" s="196">
        <v>21383</v>
      </c>
      <c r="V7" s="196">
        <v>26642</v>
      </c>
      <c r="W7" s="196">
        <v>23616</v>
      </c>
      <c r="X7" s="196">
        <v>23683</v>
      </c>
      <c r="Y7" s="196">
        <v>21376</v>
      </c>
      <c r="Z7" s="196">
        <v>21206</v>
      </c>
      <c r="AA7" s="196">
        <v>21211</v>
      </c>
      <c r="AB7" s="196">
        <v>21230</v>
      </c>
      <c r="AC7" s="196">
        <v>19345</v>
      </c>
      <c r="AD7" s="196">
        <v>20105</v>
      </c>
    </row>
    <row r="8" spans="1:30" ht="20.100000000000001" customHeight="1" x14ac:dyDescent="0.2">
      <c r="A8" s="49" t="s">
        <v>66</v>
      </c>
      <c r="B8" s="50"/>
      <c r="C8" s="51"/>
      <c r="D8" s="52"/>
      <c r="E8" s="52"/>
      <c r="F8" s="52"/>
      <c r="G8" s="52"/>
      <c r="H8" s="52"/>
      <c r="I8" s="52"/>
      <c r="J8" s="52"/>
      <c r="K8" s="52"/>
      <c r="L8" s="52"/>
      <c r="M8" s="52">
        <v>89</v>
      </c>
      <c r="N8" s="52">
        <v>84</v>
      </c>
      <c r="O8" s="52">
        <v>101</v>
      </c>
      <c r="P8" s="52">
        <v>102</v>
      </c>
      <c r="Q8" s="52">
        <v>96</v>
      </c>
      <c r="R8" s="52"/>
      <c r="S8" s="52">
        <v>97</v>
      </c>
      <c r="T8" s="196">
        <v>122</v>
      </c>
      <c r="U8" s="196">
        <v>226</v>
      </c>
      <c r="V8" s="196">
        <v>455</v>
      </c>
      <c r="W8" s="196">
        <v>442</v>
      </c>
      <c r="X8" s="196">
        <v>510</v>
      </c>
      <c r="Y8" s="196">
        <v>401</v>
      </c>
      <c r="Z8" s="196">
        <v>353</v>
      </c>
      <c r="AA8" s="196">
        <v>422</v>
      </c>
      <c r="AB8" s="196">
        <v>728</v>
      </c>
      <c r="AC8" s="196">
        <v>790</v>
      </c>
      <c r="AD8" s="196">
        <v>497</v>
      </c>
    </row>
    <row r="9" spans="1:30" ht="20.100000000000001" customHeight="1" x14ac:dyDescent="0.2">
      <c r="A9" s="49" t="s">
        <v>58</v>
      </c>
      <c r="B9" s="50"/>
      <c r="C9" s="51"/>
      <c r="D9" s="52">
        <v>3031</v>
      </c>
      <c r="E9" s="52">
        <v>3774</v>
      </c>
      <c r="F9" s="52">
        <v>2723</v>
      </c>
      <c r="G9" s="52">
        <f>807+1274</f>
        <v>2081</v>
      </c>
      <c r="H9" s="52">
        <f>1663+946</f>
        <v>2609</v>
      </c>
      <c r="I9" s="52">
        <f>1919+1607</f>
        <v>3526</v>
      </c>
      <c r="J9" s="52">
        <f>1381+1695</f>
        <v>3076</v>
      </c>
      <c r="K9" s="52">
        <f>1889+1612</f>
        <v>3501</v>
      </c>
      <c r="L9" s="52">
        <f>1011+1328</f>
        <v>2339</v>
      </c>
      <c r="M9" s="52">
        <f>937+1200</f>
        <v>2137</v>
      </c>
      <c r="N9" s="52">
        <v>1261</v>
      </c>
      <c r="O9" s="52">
        <f>1072+1293</f>
        <v>2365</v>
      </c>
      <c r="P9" s="52">
        <f>1514+1151</f>
        <v>2665</v>
      </c>
      <c r="Q9" s="52">
        <f>1066+989</f>
        <v>2055</v>
      </c>
      <c r="R9" s="52">
        <f>1670+123</f>
        <v>1793</v>
      </c>
      <c r="S9" s="52">
        <v>1014</v>
      </c>
      <c r="T9" s="196">
        <v>2382</v>
      </c>
      <c r="U9" s="196">
        <v>2424</v>
      </c>
      <c r="V9" s="196">
        <v>2062</v>
      </c>
      <c r="W9" s="196">
        <f>926+976</f>
        <v>1902</v>
      </c>
      <c r="X9" s="196">
        <v>2388</v>
      </c>
      <c r="Y9" s="196">
        <v>2287</v>
      </c>
      <c r="Z9" s="196">
        <v>2085</v>
      </c>
      <c r="AA9" s="196">
        <v>2466</v>
      </c>
      <c r="AB9" s="169">
        <v>3115</v>
      </c>
      <c r="AC9" s="196">
        <v>3205</v>
      </c>
      <c r="AD9" s="196">
        <v>2544</v>
      </c>
    </row>
    <row r="10" spans="1:30" ht="20.100000000000001" customHeight="1" x14ac:dyDescent="0.2">
      <c r="A10" s="49" t="s">
        <v>16</v>
      </c>
      <c r="B10" s="50"/>
      <c r="C10" s="51"/>
      <c r="D10" s="52">
        <v>1730</v>
      </c>
      <c r="E10" s="52">
        <v>1810</v>
      </c>
      <c r="F10" s="52">
        <v>1941</v>
      </c>
      <c r="G10" s="52">
        <v>1577</v>
      </c>
      <c r="H10" s="52">
        <v>1156</v>
      </c>
      <c r="I10" s="52">
        <v>1004</v>
      </c>
      <c r="J10" s="52">
        <v>833</v>
      </c>
      <c r="K10" s="52">
        <v>1150</v>
      </c>
      <c r="L10" s="52">
        <v>1609</v>
      </c>
      <c r="M10" s="52">
        <v>1420</v>
      </c>
      <c r="N10" s="52">
        <v>1914</v>
      </c>
      <c r="O10" s="52">
        <v>2352</v>
      </c>
      <c r="P10" s="52">
        <v>2237</v>
      </c>
      <c r="Q10" s="52">
        <v>1567</v>
      </c>
      <c r="R10" s="52">
        <v>1169</v>
      </c>
      <c r="S10" s="52">
        <v>1881</v>
      </c>
      <c r="T10" s="196">
        <v>2791</v>
      </c>
      <c r="U10" s="196">
        <v>2746</v>
      </c>
      <c r="V10" s="196">
        <v>2649</v>
      </c>
      <c r="W10" s="196">
        <v>1945</v>
      </c>
      <c r="X10" s="196">
        <v>1874</v>
      </c>
      <c r="Y10" s="196">
        <v>1524</v>
      </c>
      <c r="Z10" s="196">
        <v>2295</v>
      </c>
      <c r="AA10" s="196">
        <v>2873</v>
      </c>
      <c r="AB10" s="196">
        <v>3170</v>
      </c>
      <c r="AC10" s="196">
        <v>2364</v>
      </c>
      <c r="AD10" s="196">
        <v>2136</v>
      </c>
    </row>
    <row r="11" spans="1:30" ht="20.100000000000001" customHeight="1" x14ac:dyDescent="0.2">
      <c r="A11" s="49" t="s">
        <v>67</v>
      </c>
      <c r="B11" s="50"/>
      <c r="C11" s="51"/>
      <c r="D11" s="52">
        <v>6227</v>
      </c>
      <c r="E11" s="52">
        <v>6773</v>
      </c>
      <c r="F11" s="52">
        <v>6015</v>
      </c>
      <c r="G11" s="52">
        <v>5957</v>
      </c>
      <c r="H11" s="52">
        <v>6779</v>
      </c>
      <c r="I11" s="52">
        <v>8209</v>
      </c>
      <c r="J11" s="52">
        <v>8367</v>
      </c>
      <c r="K11" s="52">
        <v>9520</v>
      </c>
      <c r="L11" s="52">
        <v>9221</v>
      </c>
      <c r="M11" s="52">
        <v>7715</v>
      </c>
      <c r="N11" s="52">
        <v>6776</v>
      </c>
      <c r="O11" s="52">
        <v>7070</v>
      </c>
      <c r="P11" s="52">
        <v>7477</v>
      </c>
      <c r="Q11" s="52">
        <v>8773</v>
      </c>
      <c r="R11" s="52">
        <v>7769</v>
      </c>
      <c r="S11" s="52">
        <v>8614</v>
      </c>
      <c r="T11" s="196">
        <v>8454</v>
      </c>
      <c r="U11" s="196">
        <v>9684</v>
      </c>
      <c r="V11" s="196">
        <v>9908</v>
      </c>
      <c r="W11" s="196">
        <v>8035</v>
      </c>
      <c r="X11" s="196">
        <v>7093</v>
      </c>
      <c r="Y11" s="196">
        <v>7067</v>
      </c>
      <c r="Z11" s="196">
        <v>6923</v>
      </c>
      <c r="AA11" s="196">
        <v>7089</v>
      </c>
      <c r="AB11" s="196">
        <v>8082</v>
      </c>
      <c r="AC11" s="196">
        <v>7335</v>
      </c>
      <c r="AD11" s="196">
        <v>7536</v>
      </c>
    </row>
    <row r="12" spans="1:30" ht="20.100000000000001" customHeight="1" x14ac:dyDescent="0.2">
      <c r="A12" s="49" t="s">
        <v>59</v>
      </c>
      <c r="B12" s="50"/>
      <c r="C12" s="51"/>
      <c r="D12" s="52">
        <v>10323</v>
      </c>
      <c r="E12" s="52">
        <v>12495</v>
      </c>
      <c r="F12" s="52">
        <v>15458</v>
      </c>
      <c r="G12" s="52">
        <v>18106</v>
      </c>
      <c r="H12" s="52">
        <v>15618</v>
      </c>
      <c r="I12" s="52">
        <v>16408</v>
      </c>
      <c r="J12" s="52">
        <v>16014</v>
      </c>
      <c r="K12" s="52">
        <v>18353</v>
      </c>
      <c r="L12" s="52">
        <v>16742</v>
      </c>
      <c r="M12" s="52">
        <v>16926</v>
      </c>
      <c r="N12" s="52">
        <v>16487</v>
      </c>
      <c r="O12" s="52">
        <v>16940</v>
      </c>
      <c r="P12" s="52">
        <v>15763</v>
      </c>
      <c r="Q12" s="52">
        <v>16617</v>
      </c>
      <c r="R12" s="52">
        <v>13998</v>
      </c>
      <c r="S12" s="52">
        <v>14050</v>
      </c>
      <c r="T12" s="196">
        <v>13586</v>
      </c>
      <c r="U12" s="196">
        <v>12623</v>
      </c>
      <c r="V12" s="196">
        <v>12609</v>
      </c>
      <c r="W12" s="196">
        <v>13155</v>
      </c>
      <c r="X12" s="196">
        <v>13410</v>
      </c>
      <c r="Y12" s="196">
        <v>10525</v>
      </c>
      <c r="Z12" s="196">
        <v>8244</v>
      </c>
      <c r="AA12" s="196">
        <v>6556</v>
      </c>
      <c r="AB12" s="196">
        <v>7712</v>
      </c>
      <c r="AC12" s="196">
        <v>7893</v>
      </c>
      <c r="AD12" s="196">
        <v>7382</v>
      </c>
    </row>
    <row r="13" spans="1:30" ht="20.100000000000001" customHeight="1" x14ac:dyDescent="0.2">
      <c r="A13" s="49" t="s">
        <v>19</v>
      </c>
      <c r="B13" s="50"/>
      <c r="C13" s="51"/>
      <c r="D13" s="52">
        <v>314</v>
      </c>
      <c r="E13" s="52">
        <v>308</v>
      </c>
      <c r="F13" s="52">
        <v>603</v>
      </c>
      <c r="G13" s="52">
        <v>619</v>
      </c>
      <c r="H13" s="52">
        <v>615</v>
      </c>
      <c r="I13" s="52">
        <v>476</v>
      </c>
      <c r="J13" s="52">
        <v>537</v>
      </c>
      <c r="K13" s="52">
        <v>694</v>
      </c>
      <c r="L13" s="52">
        <v>608</v>
      </c>
      <c r="M13" s="52">
        <v>508</v>
      </c>
      <c r="N13" s="52">
        <v>566</v>
      </c>
      <c r="O13" s="52">
        <v>585</v>
      </c>
      <c r="P13" s="52">
        <v>791</v>
      </c>
      <c r="Q13" s="52">
        <v>932</v>
      </c>
      <c r="R13" s="52">
        <v>1145</v>
      </c>
      <c r="S13" s="52">
        <v>1363</v>
      </c>
      <c r="T13" s="196">
        <v>1673</v>
      </c>
      <c r="U13" s="196">
        <v>1504</v>
      </c>
      <c r="V13" s="196">
        <v>1439</v>
      </c>
      <c r="W13" s="196">
        <v>1214</v>
      </c>
      <c r="X13" s="196">
        <v>1858</v>
      </c>
      <c r="Y13" s="196">
        <v>1605</v>
      </c>
      <c r="Z13" s="196">
        <v>1511</v>
      </c>
      <c r="AA13" s="196">
        <v>1675</v>
      </c>
      <c r="AB13" s="196">
        <v>1996</v>
      </c>
      <c r="AC13" s="196">
        <v>1520</v>
      </c>
      <c r="AD13" s="196">
        <v>1327</v>
      </c>
    </row>
    <row r="14" spans="1:30" ht="20.100000000000001" customHeight="1" x14ac:dyDescent="0.2">
      <c r="A14" s="49" t="s">
        <v>20</v>
      </c>
      <c r="B14" s="50"/>
      <c r="C14" s="51"/>
      <c r="D14" s="52">
        <v>96870</v>
      </c>
      <c r="E14" s="52">
        <v>108024</v>
      </c>
      <c r="F14" s="52">
        <v>111215</v>
      </c>
      <c r="G14" s="52">
        <v>104544</v>
      </c>
      <c r="H14" s="52">
        <v>93637</v>
      </c>
      <c r="I14" s="52">
        <v>97518</v>
      </c>
      <c r="J14" s="52">
        <v>83348</v>
      </c>
      <c r="K14" s="52">
        <v>89922</v>
      </c>
      <c r="L14" s="52">
        <v>85334</v>
      </c>
      <c r="M14" s="52">
        <v>82224</v>
      </c>
      <c r="N14" s="52">
        <v>81473</v>
      </c>
      <c r="O14" s="52">
        <v>84553</v>
      </c>
      <c r="P14" s="52">
        <v>90547</v>
      </c>
      <c r="Q14" s="52">
        <v>87782</v>
      </c>
      <c r="R14" s="52">
        <v>81489</v>
      </c>
      <c r="S14" s="52">
        <v>83113</v>
      </c>
      <c r="T14" s="196">
        <v>86459</v>
      </c>
      <c r="U14" s="196">
        <f>97814-1504</f>
        <v>96310</v>
      </c>
      <c r="V14" s="196">
        <v>101660</v>
      </c>
      <c r="W14" s="196">
        <v>89845</v>
      </c>
      <c r="X14" s="196">
        <v>82292</v>
      </c>
      <c r="Y14" s="196">
        <v>77566</v>
      </c>
      <c r="Z14" s="196">
        <v>74352</v>
      </c>
      <c r="AA14" s="196">
        <v>67501</v>
      </c>
      <c r="AB14" s="196">
        <v>67797</v>
      </c>
      <c r="AC14" s="196">
        <v>66727</v>
      </c>
      <c r="AD14" s="196">
        <v>66446</v>
      </c>
    </row>
    <row r="15" spans="1:30" ht="20.100000000000001" customHeight="1" x14ac:dyDescent="0.2">
      <c r="A15" s="49" t="s">
        <v>22</v>
      </c>
      <c r="B15" s="50"/>
      <c r="C15" s="51"/>
      <c r="D15" s="52">
        <v>47482</v>
      </c>
      <c r="E15" s="52">
        <v>47468</v>
      </c>
      <c r="F15" s="52">
        <v>41352</v>
      </c>
      <c r="G15" s="52">
        <v>42768</v>
      </c>
      <c r="H15" s="52">
        <v>50970</v>
      </c>
      <c r="I15" s="52">
        <v>49815</v>
      </c>
      <c r="J15" s="52">
        <v>50562</v>
      </c>
      <c r="K15" s="52">
        <v>56415</v>
      </c>
      <c r="L15" s="52">
        <v>48917</v>
      </c>
      <c r="M15" s="52">
        <v>40012</v>
      </c>
      <c r="N15" s="52">
        <v>48459</v>
      </c>
      <c r="O15" s="52">
        <v>57706</v>
      </c>
      <c r="P15" s="52">
        <v>67591</v>
      </c>
      <c r="Q15" s="52">
        <v>51230</v>
      </c>
      <c r="R15" s="52">
        <v>55979</v>
      </c>
      <c r="S15" s="52">
        <v>71715</v>
      </c>
      <c r="T15" s="196">
        <v>83793</v>
      </c>
      <c r="U15" s="196">
        <v>97414</v>
      </c>
      <c r="V15" s="196">
        <v>72626</v>
      </c>
      <c r="W15" s="196">
        <v>66820</v>
      </c>
      <c r="X15" s="196">
        <v>60008</v>
      </c>
      <c r="Y15" s="196">
        <v>63176</v>
      </c>
      <c r="Z15" s="196">
        <v>70820</v>
      </c>
      <c r="AA15" s="196">
        <v>83553</v>
      </c>
      <c r="AB15" s="169">
        <v>90118.67</v>
      </c>
      <c r="AC15" s="196">
        <v>88114.38</v>
      </c>
      <c r="AD15" s="196"/>
    </row>
    <row r="16" spans="1:30" ht="20.100000000000001" customHeight="1" x14ac:dyDescent="0.2">
      <c r="A16" s="49" t="s">
        <v>23</v>
      </c>
      <c r="B16" s="50"/>
      <c r="C16" s="51"/>
      <c r="D16" s="52">
        <v>461</v>
      </c>
      <c r="E16" s="52">
        <v>834</v>
      </c>
      <c r="F16" s="52">
        <v>695</v>
      </c>
      <c r="G16" s="52">
        <v>562</v>
      </c>
      <c r="H16" s="52">
        <v>439</v>
      </c>
      <c r="I16" s="52">
        <v>471</v>
      </c>
      <c r="J16" s="52">
        <v>489</v>
      </c>
      <c r="K16" s="52">
        <v>402</v>
      </c>
      <c r="L16" s="52">
        <v>369</v>
      </c>
      <c r="M16" s="52">
        <v>187</v>
      </c>
      <c r="N16" s="52">
        <v>260</v>
      </c>
      <c r="O16" s="52">
        <v>248</v>
      </c>
      <c r="P16" s="52">
        <v>205</v>
      </c>
      <c r="Q16" s="52">
        <v>190</v>
      </c>
      <c r="R16" s="52">
        <v>407</v>
      </c>
      <c r="S16" s="52">
        <v>378</v>
      </c>
      <c r="T16" s="196">
        <v>414</v>
      </c>
      <c r="U16" s="196">
        <v>875</v>
      </c>
      <c r="V16" s="196">
        <v>267</v>
      </c>
      <c r="W16" s="196">
        <v>346</v>
      </c>
      <c r="X16" s="196">
        <v>274</v>
      </c>
      <c r="Y16" s="196">
        <v>205</v>
      </c>
      <c r="Z16" s="196">
        <v>227</v>
      </c>
      <c r="AA16" s="196">
        <v>267</v>
      </c>
      <c r="AB16" s="169">
        <v>180.81</v>
      </c>
      <c r="AC16" s="196">
        <v>124.17</v>
      </c>
      <c r="AD16" s="196"/>
    </row>
    <row r="17" spans="1:30" ht="20.100000000000001" customHeight="1" x14ac:dyDescent="0.2">
      <c r="A17" s="260" t="s">
        <v>24</v>
      </c>
      <c r="B17" s="261"/>
      <c r="C17" s="262"/>
      <c r="D17" s="263">
        <v>215210</v>
      </c>
      <c r="E17" s="263">
        <v>230014</v>
      </c>
      <c r="F17" s="263">
        <v>216575</v>
      </c>
      <c r="G17" s="263">
        <v>216484</v>
      </c>
      <c r="H17" s="263">
        <v>214544</v>
      </c>
      <c r="I17" s="263">
        <v>221645</v>
      </c>
      <c r="J17" s="263">
        <f t="shared" ref="J17:T17" si="0">SUM(J6:J16)</f>
        <v>201964</v>
      </c>
      <c r="K17" s="263">
        <f t="shared" si="0"/>
        <v>218697</v>
      </c>
      <c r="L17" s="263">
        <f t="shared" si="0"/>
        <v>201563</v>
      </c>
      <c r="M17" s="263">
        <f t="shared" si="0"/>
        <v>186222</v>
      </c>
      <c r="N17" s="263">
        <f t="shared" si="0"/>
        <v>193240</v>
      </c>
      <c r="O17" s="263">
        <f t="shared" si="0"/>
        <v>211690</v>
      </c>
      <c r="P17" s="263">
        <f t="shared" si="0"/>
        <v>228724</v>
      </c>
      <c r="Q17" s="263">
        <f t="shared" si="0"/>
        <v>204122</v>
      </c>
      <c r="R17" s="263">
        <f t="shared" si="0"/>
        <v>195662</v>
      </c>
      <c r="S17" s="263">
        <f t="shared" si="0"/>
        <v>217720</v>
      </c>
      <c r="T17" s="263">
        <f t="shared" si="0"/>
        <v>237260</v>
      </c>
      <c r="U17" s="197">
        <f t="shared" ref="U17:Z17" si="1">SUM(U6:U16)</f>
        <v>264446</v>
      </c>
      <c r="V17" s="197">
        <f t="shared" si="1"/>
        <v>244242</v>
      </c>
      <c r="W17" s="197">
        <f t="shared" si="1"/>
        <v>219724</v>
      </c>
      <c r="X17" s="197">
        <f t="shared" si="1"/>
        <v>205940</v>
      </c>
      <c r="Y17" s="197">
        <f t="shared" si="1"/>
        <v>197512</v>
      </c>
      <c r="Z17" s="197">
        <f t="shared" si="1"/>
        <v>201155</v>
      </c>
      <c r="AA17" s="197">
        <f>SUM(AA6:AA16)</f>
        <v>206986</v>
      </c>
      <c r="AB17" s="197">
        <f>SUM(AB6:AB16)</f>
        <v>216849.47999999998</v>
      </c>
      <c r="AC17" s="197">
        <f>SUM(AC6:AC16)</f>
        <v>209716.55000000002</v>
      </c>
      <c r="AD17" s="197">
        <f>SUM(AD6:AD16)</f>
        <v>109344</v>
      </c>
    </row>
    <row r="18" spans="1:30" ht="20.100000000000001" customHeight="1" x14ac:dyDescent="0.2">
      <c r="A18" s="25" t="s">
        <v>25</v>
      </c>
      <c r="B18" s="50"/>
      <c r="C18" s="51"/>
      <c r="D18" s="52">
        <v>1920</v>
      </c>
      <c r="E18" s="52">
        <v>2264</v>
      </c>
      <c r="F18" s="52">
        <v>2935</v>
      </c>
      <c r="G18" s="52">
        <v>3495</v>
      </c>
      <c r="H18" s="52">
        <v>3365</v>
      </c>
      <c r="I18" s="52">
        <v>2462</v>
      </c>
      <c r="J18" s="52">
        <v>1921</v>
      </c>
      <c r="K18" s="52">
        <v>2158</v>
      </c>
      <c r="L18" s="52">
        <v>2875</v>
      </c>
      <c r="M18" s="52">
        <v>3240</v>
      </c>
      <c r="N18" s="52">
        <v>3720</v>
      </c>
      <c r="O18" s="52">
        <v>3929</v>
      </c>
      <c r="P18" s="52">
        <v>3691</v>
      </c>
      <c r="Q18" s="52">
        <v>1335</v>
      </c>
      <c r="R18" s="52">
        <v>1099</v>
      </c>
      <c r="S18" s="52">
        <v>1699</v>
      </c>
      <c r="T18" s="62">
        <v>2027</v>
      </c>
      <c r="U18" s="196">
        <v>2052</v>
      </c>
      <c r="V18" s="196">
        <v>1641</v>
      </c>
      <c r="W18" s="196">
        <v>1745</v>
      </c>
      <c r="X18" s="196">
        <v>1883</v>
      </c>
      <c r="Y18" s="196">
        <v>2083</v>
      </c>
      <c r="Z18" s="196">
        <v>2531</v>
      </c>
      <c r="AA18" s="196">
        <v>2702</v>
      </c>
      <c r="AB18" s="196">
        <v>2811</v>
      </c>
      <c r="AC18" s="196">
        <v>2838</v>
      </c>
      <c r="AD18" s="196">
        <v>2272</v>
      </c>
    </row>
    <row r="19" spans="1:30" ht="20.100000000000001" customHeight="1" x14ac:dyDescent="0.2">
      <c r="A19" s="25" t="s">
        <v>26</v>
      </c>
      <c r="B19" s="50"/>
      <c r="C19" s="51"/>
      <c r="D19" s="52">
        <v>0</v>
      </c>
      <c r="E19" s="52">
        <v>10</v>
      </c>
      <c r="F19" s="52">
        <v>0</v>
      </c>
      <c r="G19" s="52">
        <v>0</v>
      </c>
      <c r="H19" s="52">
        <v>11</v>
      </c>
      <c r="I19" s="52">
        <v>3</v>
      </c>
      <c r="J19" s="52">
        <v>3</v>
      </c>
      <c r="K19" s="52">
        <v>3</v>
      </c>
      <c r="L19" s="52"/>
      <c r="M19" s="52"/>
      <c r="N19" s="52"/>
      <c r="O19" s="52"/>
      <c r="P19" s="52"/>
      <c r="Q19" s="52"/>
      <c r="R19" s="52"/>
      <c r="S19" s="52"/>
      <c r="T19" s="62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</row>
    <row r="20" spans="1:30" ht="20.100000000000001" customHeight="1" x14ac:dyDescent="0.2">
      <c r="A20" s="25" t="s">
        <v>27</v>
      </c>
      <c r="B20" s="50"/>
      <c r="C20" s="51"/>
      <c r="D20" s="52">
        <v>11</v>
      </c>
      <c r="E20" s="52">
        <v>2</v>
      </c>
      <c r="F20" s="52">
        <v>2</v>
      </c>
      <c r="G20" s="52">
        <v>14</v>
      </c>
      <c r="H20" s="52">
        <v>19</v>
      </c>
      <c r="I20" s="52">
        <v>47</v>
      </c>
      <c r="J20" s="52">
        <v>67</v>
      </c>
      <c r="K20" s="52">
        <v>6</v>
      </c>
      <c r="L20" s="52">
        <v>5</v>
      </c>
      <c r="M20" s="52"/>
      <c r="N20" s="52">
        <v>5</v>
      </c>
      <c r="O20" s="52"/>
      <c r="P20" s="52"/>
      <c r="Q20" s="52"/>
      <c r="R20" s="52"/>
      <c r="S20" s="52"/>
      <c r="T20" s="62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</row>
    <row r="21" spans="1:30" ht="20.100000000000001" customHeight="1" x14ac:dyDescent="0.2">
      <c r="A21" s="25" t="s">
        <v>28</v>
      </c>
      <c r="B21" s="50"/>
      <c r="C21" s="51"/>
      <c r="D21" s="52">
        <v>1414</v>
      </c>
      <c r="E21" s="52">
        <v>2114</v>
      </c>
      <c r="F21" s="52">
        <v>2489</v>
      </c>
      <c r="G21" s="52">
        <v>3808</v>
      </c>
      <c r="H21" s="52">
        <v>4212</v>
      </c>
      <c r="I21" s="52">
        <v>3080</v>
      </c>
      <c r="J21" s="52">
        <v>1861</v>
      </c>
      <c r="K21" s="52">
        <v>2003</v>
      </c>
      <c r="L21" s="52">
        <v>2944</v>
      </c>
      <c r="M21" s="52">
        <v>3274</v>
      </c>
      <c r="N21" s="52">
        <v>2377</v>
      </c>
      <c r="O21" s="52">
        <v>1517</v>
      </c>
      <c r="P21" s="52">
        <v>1204</v>
      </c>
      <c r="Q21" s="52">
        <v>1442</v>
      </c>
      <c r="R21" s="52">
        <v>1557</v>
      </c>
      <c r="S21" s="52">
        <v>1181</v>
      </c>
      <c r="T21" s="62">
        <v>1080</v>
      </c>
      <c r="U21" s="196">
        <v>843</v>
      </c>
      <c r="V21" s="196">
        <v>824</v>
      </c>
      <c r="W21" s="196">
        <v>750</v>
      </c>
      <c r="X21" s="196">
        <v>893</v>
      </c>
      <c r="Y21" s="196">
        <v>997</v>
      </c>
      <c r="Z21" s="196">
        <v>733</v>
      </c>
      <c r="AA21" s="196">
        <v>816</v>
      </c>
      <c r="AB21" s="196">
        <v>859</v>
      </c>
      <c r="AC21" s="196">
        <v>1021</v>
      </c>
      <c r="AD21" s="196">
        <v>787</v>
      </c>
    </row>
    <row r="22" spans="1:30" ht="20.100000000000001" customHeight="1" x14ac:dyDescent="0.2">
      <c r="A22" s="25" t="s">
        <v>29</v>
      </c>
      <c r="B22" s="50"/>
      <c r="C22" s="51"/>
      <c r="D22" s="52">
        <v>127</v>
      </c>
      <c r="E22" s="52">
        <v>182</v>
      </c>
      <c r="F22" s="52">
        <v>273</v>
      </c>
      <c r="G22" s="52">
        <v>347</v>
      </c>
      <c r="H22" s="52">
        <v>415</v>
      </c>
      <c r="I22" s="52">
        <v>197</v>
      </c>
      <c r="J22" s="52">
        <v>197</v>
      </c>
      <c r="K22" s="52">
        <v>103</v>
      </c>
      <c r="L22" s="52">
        <v>107</v>
      </c>
      <c r="M22" s="52">
        <v>83</v>
      </c>
      <c r="N22" s="52">
        <v>83</v>
      </c>
      <c r="O22" s="52">
        <v>114</v>
      </c>
      <c r="P22" s="52">
        <v>52</v>
      </c>
      <c r="Q22" s="52">
        <v>32</v>
      </c>
      <c r="R22" s="52">
        <v>64</v>
      </c>
      <c r="S22" s="52">
        <v>49</v>
      </c>
      <c r="T22" s="62">
        <v>20</v>
      </c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</row>
    <row r="23" spans="1:30" ht="20.100000000000001" customHeight="1" x14ac:dyDescent="0.2">
      <c r="A23" s="120" t="s">
        <v>30</v>
      </c>
      <c r="B23" s="50"/>
      <c r="C23" s="51"/>
      <c r="D23" s="52">
        <v>97</v>
      </c>
      <c r="E23" s="52">
        <v>104</v>
      </c>
      <c r="F23" s="52">
        <v>119</v>
      </c>
      <c r="G23" s="52">
        <v>63</v>
      </c>
      <c r="H23" s="52">
        <v>68</v>
      </c>
      <c r="I23" s="52">
        <v>57</v>
      </c>
      <c r="J23" s="52">
        <v>46</v>
      </c>
      <c r="K23" s="52">
        <v>53</v>
      </c>
      <c r="L23" s="52">
        <v>96</v>
      </c>
      <c r="M23" s="52">
        <v>53</v>
      </c>
      <c r="N23" s="52">
        <v>103</v>
      </c>
      <c r="O23" s="52">
        <v>107</v>
      </c>
      <c r="P23" s="52">
        <v>71</v>
      </c>
      <c r="Q23" s="52">
        <v>0</v>
      </c>
      <c r="R23" s="52"/>
      <c r="S23" s="52">
        <v>34</v>
      </c>
      <c r="T23" s="62">
        <v>18</v>
      </c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</row>
    <row r="24" spans="1:30" ht="20.100000000000001" customHeight="1" x14ac:dyDescent="0.2">
      <c r="A24" s="120" t="s">
        <v>31</v>
      </c>
      <c r="B24" s="50"/>
      <c r="C24" s="51"/>
      <c r="D24" s="52">
        <v>2407</v>
      </c>
      <c r="E24" s="52">
        <v>3088</v>
      </c>
      <c r="F24" s="52">
        <v>2407</v>
      </c>
      <c r="G24" s="52">
        <f>1837+1988</f>
        <v>3825</v>
      </c>
      <c r="H24" s="52">
        <f>1829+1476</f>
        <v>3305</v>
      </c>
      <c r="I24" s="52">
        <f>1254+2182</f>
        <v>3436</v>
      </c>
      <c r="J24" s="52">
        <f>1669+2453</f>
        <v>4122</v>
      </c>
      <c r="K24" s="52">
        <f>2044+2097</f>
        <v>4141</v>
      </c>
      <c r="L24" s="52">
        <v>4336</v>
      </c>
      <c r="M24" s="52">
        <v>4336</v>
      </c>
      <c r="N24" s="52">
        <v>4171</v>
      </c>
      <c r="O24" s="52">
        <v>3886</v>
      </c>
      <c r="P24" s="52">
        <v>3970</v>
      </c>
      <c r="Q24" s="52">
        <v>3121</v>
      </c>
      <c r="R24" s="52">
        <v>2560</v>
      </c>
      <c r="S24" s="52">
        <v>2432</v>
      </c>
      <c r="T24" s="62">
        <v>2150</v>
      </c>
      <c r="U24" s="196">
        <v>1964</v>
      </c>
      <c r="V24" s="196">
        <v>1996</v>
      </c>
      <c r="W24" s="196">
        <v>1875</v>
      </c>
      <c r="X24" s="196">
        <v>2325</v>
      </c>
      <c r="Y24" s="196">
        <v>2478</v>
      </c>
      <c r="Z24" s="196">
        <v>2649</v>
      </c>
      <c r="AA24" s="196">
        <v>2677</v>
      </c>
      <c r="AB24" s="196">
        <v>2585</v>
      </c>
      <c r="AC24" s="196">
        <v>2637</v>
      </c>
      <c r="AD24" s="196">
        <v>2232</v>
      </c>
    </row>
    <row r="25" spans="1:30" ht="20.100000000000001" customHeight="1" x14ac:dyDescent="0.2">
      <c r="A25" s="25" t="s">
        <v>33</v>
      </c>
      <c r="B25" s="50"/>
      <c r="C25" s="51"/>
      <c r="D25" s="52">
        <v>5636</v>
      </c>
      <c r="E25" s="52">
        <v>6140</v>
      </c>
      <c r="F25" s="52">
        <v>6140</v>
      </c>
      <c r="G25" s="52">
        <f>4530+2124</f>
        <v>6654</v>
      </c>
      <c r="H25" s="52">
        <f>4198+2261</f>
        <v>6459</v>
      </c>
      <c r="I25" s="52">
        <f>2304+3019</f>
        <v>5323</v>
      </c>
      <c r="J25" s="52">
        <f>3429+4003</f>
        <v>7432</v>
      </c>
      <c r="K25" s="52">
        <f>4072+4737</f>
        <v>8809</v>
      </c>
      <c r="L25" s="52">
        <v>9248</v>
      </c>
      <c r="M25" s="52">
        <v>8435</v>
      </c>
      <c r="N25" s="52">
        <v>6971</v>
      </c>
      <c r="O25" s="52">
        <v>4328</v>
      </c>
      <c r="P25" s="52">
        <v>4266</v>
      </c>
      <c r="Q25" s="52">
        <v>3589</v>
      </c>
      <c r="R25" s="52">
        <v>3604</v>
      </c>
      <c r="S25" s="52">
        <v>3210</v>
      </c>
      <c r="T25" s="62">
        <v>2157</v>
      </c>
      <c r="U25" s="196">
        <v>2064</v>
      </c>
      <c r="V25" s="196">
        <v>2154</v>
      </c>
      <c r="W25" s="196">
        <v>2546</v>
      </c>
      <c r="X25" s="196">
        <v>2636</v>
      </c>
      <c r="Y25" s="196">
        <v>2832</v>
      </c>
      <c r="Z25" s="196">
        <v>2656</v>
      </c>
      <c r="AA25" s="196">
        <v>2858</v>
      </c>
      <c r="AB25" s="196">
        <v>3080</v>
      </c>
      <c r="AC25" s="196">
        <v>2830</v>
      </c>
      <c r="AD25" s="196">
        <v>2294</v>
      </c>
    </row>
    <row r="26" spans="1:30" ht="20.100000000000001" customHeight="1" x14ac:dyDescent="0.2">
      <c r="A26" s="25" t="s">
        <v>60</v>
      </c>
      <c r="B26" s="50"/>
      <c r="C26" s="51"/>
      <c r="D26" s="52">
        <v>1088</v>
      </c>
      <c r="E26" s="52">
        <v>1383</v>
      </c>
      <c r="F26" s="52">
        <v>2108</v>
      </c>
      <c r="G26" s="52">
        <v>1049</v>
      </c>
      <c r="H26" s="52">
        <v>731</v>
      </c>
      <c r="I26" s="52">
        <v>609</v>
      </c>
      <c r="J26" s="52">
        <v>991</v>
      </c>
      <c r="K26" s="52">
        <v>1237</v>
      </c>
      <c r="L26" s="52">
        <v>1773</v>
      </c>
      <c r="M26" s="52">
        <v>1918</v>
      </c>
      <c r="N26" s="52">
        <v>1746</v>
      </c>
      <c r="O26" s="52">
        <v>1389</v>
      </c>
      <c r="P26" s="52">
        <v>1006</v>
      </c>
      <c r="Q26" s="52">
        <v>489</v>
      </c>
      <c r="R26" s="52">
        <v>739</v>
      </c>
      <c r="S26" s="52">
        <v>1347</v>
      </c>
      <c r="T26" s="62">
        <v>1356</v>
      </c>
      <c r="U26" s="196">
        <v>808</v>
      </c>
      <c r="V26" s="196">
        <v>1543</v>
      </c>
      <c r="W26" s="196">
        <v>1131</v>
      </c>
      <c r="X26" s="196">
        <v>1212</v>
      </c>
      <c r="Y26" s="196">
        <v>1259</v>
      </c>
      <c r="Z26" s="196">
        <v>1486</v>
      </c>
      <c r="AA26" s="196">
        <v>1569</v>
      </c>
      <c r="AB26" s="196">
        <v>1721</v>
      </c>
      <c r="AC26" s="196">
        <v>1616</v>
      </c>
      <c r="AD26" s="196">
        <v>1118</v>
      </c>
    </row>
    <row r="27" spans="1:30" ht="20.100000000000001" customHeight="1" x14ac:dyDescent="0.2">
      <c r="A27" s="25" t="s">
        <v>34</v>
      </c>
      <c r="B27" s="50"/>
      <c r="C27" s="51"/>
      <c r="D27" s="52">
        <v>5080</v>
      </c>
      <c r="E27" s="52">
        <v>5943</v>
      </c>
      <c r="F27" s="52">
        <v>5156</v>
      </c>
      <c r="G27" s="52">
        <v>2524</v>
      </c>
      <c r="H27" s="52">
        <v>1876</v>
      </c>
      <c r="I27" s="52">
        <v>2132</v>
      </c>
      <c r="J27" s="52">
        <v>3228</v>
      </c>
      <c r="K27" s="52">
        <v>4461</v>
      </c>
      <c r="L27" s="52">
        <v>4421</v>
      </c>
      <c r="M27" s="52">
        <v>3165</v>
      </c>
      <c r="N27" s="52">
        <v>2400</v>
      </c>
      <c r="O27" s="52">
        <v>2056</v>
      </c>
      <c r="P27" s="52">
        <v>2931</v>
      </c>
      <c r="Q27" s="52">
        <v>2760</v>
      </c>
      <c r="R27" s="52">
        <v>2716</v>
      </c>
      <c r="S27" s="52">
        <v>3176</v>
      </c>
      <c r="T27" s="62">
        <v>2829</v>
      </c>
      <c r="U27" s="196">
        <v>3157</v>
      </c>
      <c r="V27" s="196">
        <v>1943</v>
      </c>
      <c r="W27" s="196">
        <v>2611</v>
      </c>
      <c r="X27" s="196">
        <v>2984</v>
      </c>
      <c r="Y27" s="196">
        <v>2948</v>
      </c>
      <c r="Z27" s="196">
        <v>3393</v>
      </c>
      <c r="AA27" s="196">
        <v>3866</v>
      </c>
      <c r="AB27" s="196">
        <v>4462</v>
      </c>
      <c r="AC27" s="196">
        <v>3614</v>
      </c>
      <c r="AD27" s="196">
        <v>2929</v>
      </c>
    </row>
    <row r="28" spans="1:30" ht="20.100000000000001" customHeight="1" x14ac:dyDescent="0.2">
      <c r="A28" s="25" t="s">
        <v>35</v>
      </c>
      <c r="B28" s="50"/>
      <c r="C28" s="51"/>
      <c r="D28" s="52">
        <v>674</v>
      </c>
      <c r="E28" s="52">
        <v>1244</v>
      </c>
      <c r="F28" s="52">
        <v>202</v>
      </c>
      <c r="G28" s="52">
        <v>192</v>
      </c>
      <c r="H28" s="52" t="s">
        <v>32</v>
      </c>
      <c r="I28" s="52">
        <v>600</v>
      </c>
      <c r="J28" s="52">
        <v>101</v>
      </c>
      <c r="K28" s="52">
        <v>411</v>
      </c>
      <c r="L28" s="52">
        <v>466</v>
      </c>
      <c r="M28" s="52">
        <f>56+75+44+266+2</f>
        <v>443</v>
      </c>
      <c r="N28" s="52">
        <f>96+115+31+163+5</f>
        <v>410</v>
      </c>
      <c r="O28" s="52">
        <v>171</v>
      </c>
      <c r="P28" s="52">
        <v>179</v>
      </c>
      <c r="Q28" s="52">
        <v>76</v>
      </c>
      <c r="R28" s="52">
        <f>12967-12275</f>
        <v>692</v>
      </c>
      <c r="S28" s="52">
        <v>1164</v>
      </c>
      <c r="T28" s="196">
        <f>1316-31</f>
        <v>1285</v>
      </c>
      <c r="U28" s="196">
        <v>1266</v>
      </c>
      <c r="V28" s="196">
        <f>10934-10101</f>
        <v>833</v>
      </c>
      <c r="W28" s="196">
        <f>12401-10658</f>
        <v>1743</v>
      </c>
      <c r="X28" s="196">
        <v>1478</v>
      </c>
      <c r="Y28" s="196">
        <v>754</v>
      </c>
      <c r="Z28" s="196">
        <v>999</v>
      </c>
      <c r="AA28" s="196">
        <v>1518</v>
      </c>
      <c r="AB28" s="196">
        <v>1666</v>
      </c>
      <c r="AC28" s="196">
        <v>1450</v>
      </c>
      <c r="AD28" s="196">
        <v>600</v>
      </c>
    </row>
    <row r="29" spans="1:30" ht="20.100000000000001" customHeight="1" x14ac:dyDescent="0.2">
      <c r="A29" s="260" t="s">
        <v>36</v>
      </c>
      <c r="B29" s="261"/>
      <c r="C29" s="262"/>
      <c r="D29" s="263">
        <v>18454</v>
      </c>
      <c r="E29" s="263">
        <v>22474</v>
      </c>
      <c r="F29" s="263">
        <v>23590</v>
      </c>
      <c r="G29" s="263">
        <v>22012</v>
      </c>
      <c r="H29" s="263">
        <v>20977</v>
      </c>
      <c r="I29" s="263">
        <v>17795</v>
      </c>
      <c r="J29" s="263">
        <v>19969</v>
      </c>
      <c r="K29" s="263">
        <f t="shared" ref="K29:P29" si="2">SUM(K18:K28)</f>
        <v>23385</v>
      </c>
      <c r="L29" s="263">
        <f t="shared" si="2"/>
        <v>26271</v>
      </c>
      <c r="M29" s="263">
        <f t="shared" si="2"/>
        <v>24947</v>
      </c>
      <c r="N29" s="263">
        <f t="shared" si="2"/>
        <v>21986</v>
      </c>
      <c r="O29" s="263">
        <f>SUM(O18:O28)</f>
        <v>17497</v>
      </c>
      <c r="P29" s="263">
        <f t="shared" si="2"/>
        <v>17370</v>
      </c>
      <c r="Q29" s="263">
        <f t="shared" ref="Q29:Y29" si="3">SUM(Q18:Q28)</f>
        <v>12844</v>
      </c>
      <c r="R29" s="263">
        <f t="shared" si="3"/>
        <v>13031</v>
      </c>
      <c r="S29" s="263">
        <f t="shared" si="3"/>
        <v>14292</v>
      </c>
      <c r="T29" s="264">
        <f t="shared" si="3"/>
        <v>12922</v>
      </c>
      <c r="U29" s="197">
        <f t="shared" si="3"/>
        <v>12154</v>
      </c>
      <c r="V29" s="197">
        <f t="shared" si="3"/>
        <v>10934</v>
      </c>
      <c r="W29" s="197">
        <f t="shared" si="3"/>
        <v>12401</v>
      </c>
      <c r="X29" s="197">
        <f t="shared" si="3"/>
        <v>13411</v>
      </c>
      <c r="Y29" s="197">
        <f t="shared" si="3"/>
        <v>13351</v>
      </c>
      <c r="Z29" s="197">
        <f>SUM(Z18:Z28)</f>
        <v>14447</v>
      </c>
      <c r="AA29" s="197">
        <f>SUM(AA18:AA28)</f>
        <v>16006</v>
      </c>
      <c r="AB29" s="197">
        <f>SUM(AB18:AB28)</f>
        <v>17184</v>
      </c>
      <c r="AC29" s="197">
        <f>SUM(AC18:AC28)</f>
        <v>16006</v>
      </c>
      <c r="AD29" s="197">
        <f>SUM(AD18:AD28)</f>
        <v>12232</v>
      </c>
    </row>
    <row r="30" spans="1:30" ht="20.100000000000001" customHeight="1" x14ac:dyDescent="0.2">
      <c r="A30" s="49" t="s">
        <v>37</v>
      </c>
      <c r="B30" s="50"/>
      <c r="C30" s="51"/>
      <c r="D30" s="52">
        <v>2557</v>
      </c>
      <c r="E30" s="52">
        <v>3806</v>
      </c>
      <c r="F30" s="52">
        <v>5232</v>
      </c>
      <c r="G30" s="52">
        <v>5740</v>
      </c>
      <c r="H30" s="52">
        <v>3706</v>
      </c>
      <c r="I30" s="52">
        <v>1940</v>
      </c>
      <c r="J30" s="52">
        <v>2417</v>
      </c>
      <c r="K30" s="52">
        <v>3271</v>
      </c>
      <c r="L30" s="52">
        <v>3707</v>
      </c>
      <c r="M30" s="52">
        <v>4281</v>
      </c>
      <c r="N30" s="52">
        <v>4006</v>
      </c>
      <c r="O30" s="52">
        <v>2741</v>
      </c>
      <c r="P30" s="52">
        <v>4428</v>
      </c>
      <c r="Q30" s="52">
        <v>4236</v>
      </c>
      <c r="R30" s="52">
        <v>3177</v>
      </c>
      <c r="S30" s="52">
        <v>3807</v>
      </c>
      <c r="T30" s="62">
        <v>3405</v>
      </c>
      <c r="U30" s="196">
        <v>4476</v>
      </c>
      <c r="V30" s="196">
        <v>6362</v>
      </c>
      <c r="W30" s="196">
        <v>7833</v>
      </c>
      <c r="X30" s="196">
        <v>9968</v>
      </c>
      <c r="Y30" s="196">
        <v>10203</v>
      </c>
      <c r="Z30" s="196">
        <v>7605</v>
      </c>
      <c r="AA30" s="196">
        <v>6630</v>
      </c>
      <c r="AB30" s="196">
        <v>6155</v>
      </c>
      <c r="AC30" s="196">
        <v>5273</v>
      </c>
      <c r="AD30" s="196">
        <v>3225</v>
      </c>
    </row>
    <row r="31" spans="1:30" ht="20.100000000000001" customHeight="1" x14ac:dyDescent="0.2">
      <c r="A31" s="54" t="s">
        <v>38</v>
      </c>
      <c r="B31" s="55"/>
      <c r="C31" s="56"/>
      <c r="D31" s="52">
        <v>55</v>
      </c>
      <c r="E31" s="52">
        <v>62</v>
      </c>
      <c r="F31" s="52">
        <v>41</v>
      </c>
      <c r="G31" s="52">
        <v>226</v>
      </c>
      <c r="H31" s="52">
        <v>202</v>
      </c>
      <c r="I31" s="52">
        <v>95</v>
      </c>
      <c r="J31" s="52">
        <v>84</v>
      </c>
      <c r="K31" s="52">
        <v>102</v>
      </c>
      <c r="L31" s="52">
        <v>236</v>
      </c>
      <c r="M31" s="52">
        <v>229</v>
      </c>
      <c r="N31" s="52">
        <v>82</v>
      </c>
      <c r="O31" s="52"/>
      <c r="P31" s="52"/>
      <c r="Q31" s="52">
        <v>10</v>
      </c>
      <c r="R31" s="52"/>
      <c r="S31" s="52">
        <v>49</v>
      </c>
      <c r="T31" s="62">
        <v>15</v>
      </c>
      <c r="U31" s="196">
        <v>5</v>
      </c>
      <c r="V31" s="196">
        <v>7</v>
      </c>
      <c r="W31" s="196"/>
      <c r="X31" s="196"/>
      <c r="Y31" s="196">
        <v>81</v>
      </c>
      <c r="Z31" s="196">
        <v>75.55</v>
      </c>
      <c r="AA31" s="196">
        <v>55.25</v>
      </c>
      <c r="AB31" s="196">
        <v>50.07</v>
      </c>
      <c r="AC31" s="196">
        <v>25.75</v>
      </c>
      <c r="AD31" s="196"/>
    </row>
    <row r="32" spans="1:30" ht="20.100000000000001" customHeight="1" x14ac:dyDescent="0.2">
      <c r="A32" s="49" t="s">
        <v>68</v>
      </c>
      <c r="B32" s="50"/>
      <c r="C32" s="51"/>
      <c r="D32" s="52">
        <v>10718</v>
      </c>
      <c r="E32" s="52">
        <v>12267</v>
      </c>
      <c r="F32" s="52">
        <v>13676</v>
      </c>
      <c r="G32" s="52">
        <v>15050</v>
      </c>
      <c r="H32" s="52">
        <v>13122</v>
      </c>
      <c r="I32" s="52">
        <v>10339</v>
      </c>
      <c r="J32" s="52">
        <v>10789</v>
      </c>
      <c r="K32" s="52">
        <v>11941</v>
      </c>
      <c r="L32" s="52">
        <v>12401</v>
      </c>
      <c r="M32" s="52">
        <v>14526</v>
      </c>
      <c r="N32" s="52">
        <v>16821</v>
      </c>
      <c r="O32" s="52">
        <v>13899</v>
      </c>
      <c r="P32" s="52">
        <v>12737</v>
      </c>
      <c r="Q32" s="52">
        <v>11595</v>
      </c>
      <c r="R32" s="52">
        <v>12040</v>
      </c>
      <c r="S32" s="52">
        <v>11548</v>
      </c>
      <c r="T32" s="62">
        <v>10618</v>
      </c>
      <c r="U32" s="196">
        <v>11678</v>
      </c>
      <c r="V32" s="196">
        <v>15530</v>
      </c>
      <c r="W32" s="196">
        <v>19465</v>
      </c>
      <c r="X32" s="196">
        <v>24685</v>
      </c>
      <c r="Y32" s="196">
        <v>28089</v>
      </c>
      <c r="Z32" s="196">
        <v>22718</v>
      </c>
      <c r="AA32" s="196">
        <v>20656</v>
      </c>
      <c r="AB32" s="196">
        <v>20475</v>
      </c>
      <c r="AC32" s="196">
        <v>20235</v>
      </c>
      <c r="AD32" s="196">
        <v>18419</v>
      </c>
    </row>
    <row r="33" spans="1:30" ht="20.100000000000001" customHeight="1" x14ac:dyDescent="0.2">
      <c r="A33" s="54" t="s">
        <v>40</v>
      </c>
      <c r="B33" s="50"/>
      <c r="C33" s="51"/>
      <c r="D33" s="52">
        <v>3466</v>
      </c>
      <c r="E33" s="52">
        <v>2966</v>
      </c>
      <c r="F33" s="52">
        <v>2587</v>
      </c>
      <c r="G33" s="52">
        <v>2986</v>
      </c>
      <c r="H33" s="52">
        <v>4021</v>
      </c>
      <c r="I33" s="52">
        <v>4554</v>
      </c>
      <c r="J33" s="52">
        <v>4337</v>
      </c>
      <c r="K33" s="52">
        <v>4937</v>
      </c>
      <c r="L33" s="52">
        <v>4590</v>
      </c>
      <c r="M33" s="52">
        <f>7+395+258</f>
        <v>660</v>
      </c>
      <c r="N33" s="52">
        <v>604</v>
      </c>
      <c r="O33" s="52">
        <v>1094</v>
      </c>
      <c r="P33" s="52">
        <v>2511</v>
      </c>
      <c r="Q33" s="52">
        <v>1093</v>
      </c>
      <c r="R33" s="52">
        <v>651</v>
      </c>
      <c r="S33" s="52">
        <v>2111</v>
      </c>
      <c r="T33" s="62">
        <v>1586</v>
      </c>
      <c r="U33" s="196">
        <v>1527</v>
      </c>
      <c r="V33" s="196">
        <v>1868</v>
      </c>
      <c r="W33" s="196">
        <v>2361</v>
      </c>
      <c r="X33" s="196">
        <v>2102</v>
      </c>
      <c r="Y33" s="196">
        <v>1277</v>
      </c>
      <c r="Z33" s="196">
        <v>1724</v>
      </c>
      <c r="AA33" s="196">
        <v>2322</v>
      </c>
      <c r="AB33" s="196">
        <v>2330</v>
      </c>
      <c r="AC33" s="196">
        <v>1358</v>
      </c>
      <c r="AD33" s="196">
        <v>1224</v>
      </c>
    </row>
    <row r="34" spans="1:30" ht="20.100000000000001" customHeight="1" x14ac:dyDescent="0.2">
      <c r="A34" s="49" t="s">
        <v>41</v>
      </c>
      <c r="B34" s="50"/>
      <c r="C34" s="51"/>
      <c r="D34" s="52">
        <v>357</v>
      </c>
      <c r="E34" s="52">
        <v>545</v>
      </c>
      <c r="F34" s="52">
        <v>982</v>
      </c>
      <c r="G34" s="52">
        <v>901</v>
      </c>
      <c r="H34" s="52">
        <v>2723</v>
      </c>
      <c r="I34" s="52">
        <v>3333</v>
      </c>
      <c r="J34" s="52">
        <v>1978</v>
      </c>
      <c r="K34" s="52">
        <v>1877</v>
      </c>
      <c r="L34" s="52">
        <v>2291</v>
      </c>
      <c r="M34" s="52">
        <v>2263</v>
      </c>
      <c r="N34" s="52">
        <v>1416</v>
      </c>
      <c r="O34" s="52">
        <v>1846</v>
      </c>
      <c r="P34" s="52">
        <v>2146</v>
      </c>
      <c r="Q34" s="52">
        <v>3371</v>
      </c>
      <c r="R34" s="52">
        <v>1953</v>
      </c>
      <c r="S34" s="52">
        <v>1686</v>
      </c>
      <c r="T34" s="62">
        <v>1846</v>
      </c>
      <c r="U34" s="196">
        <v>2546</v>
      </c>
      <c r="V34" s="196">
        <v>3251</v>
      </c>
      <c r="W34" s="196">
        <v>3029</v>
      </c>
      <c r="X34" s="196">
        <v>2947</v>
      </c>
      <c r="Y34" s="196">
        <v>2450</v>
      </c>
      <c r="Z34" s="196">
        <v>2695</v>
      </c>
      <c r="AA34" s="196">
        <v>3736</v>
      </c>
      <c r="AB34" s="169">
        <v>3690</v>
      </c>
      <c r="AC34" s="196">
        <v>2930</v>
      </c>
      <c r="AD34" s="196">
        <v>2924</v>
      </c>
    </row>
    <row r="35" spans="1:30" ht="20.100000000000001" customHeight="1" x14ac:dyDescent="0.2">
      <c r="A35" s="49" t="s">
        <v>42</v>
      </c>
      <c r="B35" s="50"/>
      <c r="C35" s="51"/>
      <c r="D35" s="52">
        <v>249</v>
      </c>
      <c r="E35" s="52">
        <v>386</v>
      </c>
      <c r="F35" s="52">
        <v>699</v>
      </c>
      <c r="G35" s="52">
        <v>1331</v>
      </c>
      <c r="H35" s="52">
        <v>2349</v>
      </c>
      <c r="I35" s="52">
        <v>1592</v>
      </c>
      <c r="J35" s="52">
        <v>733</v>
      </c>
      <c r="K35" s="52">
        <v>718</v>
      </c>
      <c r="L35" s="52">
        <v>566</v>
      </c>
      <c r="M35" s="52">
        <v>508</v>
      </c>
      <c r="N35" s="52">
        <v>255</v>
      </c>
      <c r="O35" s="52">
        <v>176</v>
      </c>
      <c r="P35" s="52">
        <v>180</v>
      </c>
      <c r="Q35" s="52">
        <v>599</v>
      </c>
      <c r="R35" s="52">
        <v>106</v>
      </c>
      <c r="S35" s="52">
        <v>110</v>
      </c>
      <c r="T35" s="62">
        <v>296</v>
      </c>
      <c r="U35" s="196">
        <v>376</v>
      </c>
      <c r="V35" s="196">
        <v>360</v>
      </c>
      <c r="W35" s="196">
        <v>525</v>
      </c>
      <c r="X35" s="196">
        <v>348</v>
      </c>
      <c r="Y35" s="196">
        <v>20</v>
      </c>
      <c r="Z35" s="196">
        <v>146</v>
      </c>
      <c r="AA35" s="196">
        <v>494</v>
      </c>
      <c r="AB35" s="196">
        <v>649</v>
      </c>
      <c r="AC35" s="196">
        <v>411</v>
      </c>
      <c r="AD35" s="196">
        <v>253</v>
      </c>
    </row>
    <row r="36" spans="1:30" ht="20.100000000000001" customHeight="1" x14ac:dyDescent="0.2">
      <c r="A36" s="49" t="s">
        <v>43</v>
      </c>
      <c r="B36" s="50"/>
      <c r="C36" s="51"/>
      <c r="D36" s="52">
        <v>20192</v>
      </c>
      <c r="E36" s="52">
        <v>24979</v>
      </c>
      <c r="F36" s="52">
        <v>20914</v>
      </c>
      <c r="G36" s="52">
        <v>14950</v>
      </c>
      <c r="H36" s="52">
        <v>17739</v>
      </c>
      <c r="I36" s="52">
        <v>14473</v>
      </c>
      <c r="J36" s="52">
        <v>14130</v>
      </c>
      <c r="K36" s="52">
        <v>13555</v>
      </c>
      <c r="L36" s="52">
        <v>11194</v>
      </c>
      <c r="M36" s="52">
        <v>8223</v>
      </c>
      <c r="N36" s="52">
        <v>6063</v>
      </c>
      <c r="O36" s="52">
        <v>3777</v>
      </c>
      <c r="P36" s="52">
        <v>5772</v>
      </c>
      <c r="Q36" s="52">
        <v>10599</v>
      </c>
      <c r="R36" s="52">
        <v>6723</v>
      </c>
      <c r="S36" s="52">
        <v>4913</v>
      </c>
      <c r="T36" s="169">
        <v>4843</v>
      </c>
      <c r="U36" s="196">
        <v>5490</v>
      </c>
      <c r="V36" s="196">
        <v>7642</v>
      </c>
      <c r="W36" s="196">
        <v>9702</v>
      </c>
      <c r="X36" s="196">
        <v>9357</v>
      </c>
      <c r="Y36" s="196">
        <v>6781</v>
      </c>
      <c r="Z36" s="196">
        <v>5894</v>
      </c>
      <c r="AA36" s="196">
        <v>7331</v>
      </c>
      <c r="AB36" s="196">
        <v>8525</v>
      </c>
      <c r="AC36" s="196">
        <v>8506</v>
      </c>
      <c r="AD36" s="196">
        <v>8751</v>
      </c>
    </row>
    <row r="37" spans="1:30" ht="20.100000000000001" customHeight="1" x14ac:dyDescent="0.2">
      <c r="A37" s="49" t="s">
        <v>44</v>
      </c>
      <c r="B37" s="50"/>
      <c r="C37" s="51"/>
      <c r="D37" s="52">
        <v>922</v>
      </c>
      <c r="E37" s="52">
        <v>842</v>
      </c>
      <c r="F37" s="52">
        <v>1273</v>
      </c>
      <c r="G37" s="52">
        <v>938</v>
      </c>
      <c r="H37" s="52">
        <v>310</v>
      </c>
      <c r="I37" s="52">
        <f>I38-SUM(I30:I36)</f>
        <v>1149</v>
      </c>
      <c r="J37" s="52">
        <f>J38-SUM(J30:J36)</f>
        <v>742</v>
      </c>
      <c r="K37" s="62" t="s">
        <v>69</v>
      </c>
      <c r="L37" s="52"/>
      <c r="M37" s="52">
        <f>13+40+2+402</f>
        <v>457</v>
      </c>
      <c r="N37" s="52">
        <f>49+36+2+276</f>
        <v>363</v>
      </c>
      <c r="O37" s="52">
        <f>568+244</f>
        <v>812</v>
      </c>
      <c r="P37" s="52">
        <f>852+654+96</f>
        <v>1602</v>
      </c>
      <c r="Q37" s="52">
        <v>1397</v>
      </c>
      <c r="R37" s="52">
        <f>75+777+909</f>
        <v>1761</v>
      </c>
      <c r="S37" s="52">
        <v>2335</v>
      </c>
      <c r="T37" s="62">
        <f>126+537+7+67+70</f>
        <v>807</v>
      </c>
      <c r="U37" s="196">
        <v>3087</v>
      </c>
      <c r="V37" s="196">
        <v>3420</v>
      </c>
      <c r="W37" s="196">
        <f>46651-42915</f>
        <v>3736</v>
      </c>
      <c r="X37" s="196">
        <v>4026</v>
      </c>
      <c r="Y37" s="196">
        <v>4487</v>
      </c>
      <c r="Z37" s="196">
        <v>5150</v>
      </c>
      <c r="AA37" s="196">
        <v>7016</v>
      </c>
      <c r="AB37" s="196">
        <v>8733</v>
      </c>
      <c r="AC37" s="196">
        <v>6946</v>
      </c>
      <c r="AD37" s="196">
        <v>6305</v>
      </c>
    </row>
    <row r="38" spans="1:30" ht="20.100000000000001" customHeight="1" x14ac:dyDescent="0.2">
      <c r="A38" s="260" t="s">
        <v>45</v>
      </c>
      <c r="B38" s="261"/>
      <c r="C38" s="262"/>
      <c r="D38" s="263">
        <v>38516</v>
      </c>
      <c r="E38" s="263">
        <v>45853</v>
      </c>
      <c r="F38" s="263">
        <v>45404</v>
      </c>
      <c r="G38" s="263">
        <v>42210</v>
      </c>
      <c r="H38" s="263">
        <v>45407</v>
      </c>
      <c r="I38" s="265">
        <f>24229+13246</f>
        <v>37475</v>
      </c>
      <c r="J38" s="265">
        <f>21309+13901</f>
        <v>35210</v>
      </c>
      <c r="K38" s="263">
        <f t="shared" ref="K38:P38" si="4">SUM(K30:K37)</f>
        <v>36401</v>
      </c>
      <c r="L38" s="263">
        <f t="shared" si="4"/>
        <v>34985</v>
      </c>
      <c r="M38" s="263">
        <f t="shared" si="4"/>
        <v>31147</v>
      </c>
      <c r="N38" s="263">
        <f t="shared" si="4"/>
        <v>29610</v>
      </c>
      <c r="O38" s="263">
        <f>SUM(O30:O37)</f>
        <v>24345</v>
      </c>
      <c r="P38" s="263">
        <f t="shared" si="4"/>
        <v>29376</v>
      </c>
      <c r="Q38" s="263">
        <f t="shared" ref="Q38:Y38" si="5">SUM(Q30:Q37)</f>
        <v>32900</v>
      </c>
      <c r="R38" s="263">
        <f t="shared" si="5"/>
        <v>26411</v>
      </c>
      <c r="S38" s="263">
        <f t="shared" si="5"/>
        <v>26559</v>
      </c>
      <c r="T38" s="264">
        <f t="shared" si="5"/>
        <v>23416</v>
      </c>
      <c r="U38" s="197">
        <f t="shared" si="5"/>
        <v>29185</v>
      </c>
      <c r="V38" s="197">
        <f t="shared" si="5"/>
        <v>38440</v>
      </c>
      <c r="W38" s="197">
        <f t="shared" si="5"/>
        <v>46651</v>
      </c>
      <c r="X38" s="197">
        <f t="shared" si="5"/>
        <v>53433</v>
      </c>
      <c r="Y38" s="197">
        <f t="shared" si="5"/>
        <v>53388</v>
      </c>
      <c r="Z38" s="197">
        <f>SUM(Z30:Z37)</f>
        <v>46007.55</v>
      </c>
      <c r="AA38" s="197">
        <f>SUM(AA30:AA37)</f>
        <v>48240.25</v>
      </c>
      <c r="AB38" s="197">
        <f>SUM(AB30:AB37)</f>
        <v>50607.07</v>
      </c>
      <c r="AC38" s="197">
        <f>SUM(AC30:AC37)</f>
        <v>45684.75</v>
      </c>
      <c r="AD38" s="197">
        <f>SUM(AD30:AD37)</f>
        <v>41101</v>
      </c>
    </row>
    <row r="39" spans="1:30" ht="20.100000000000001" customHeight="1" x14ac:dyDescent="0.2">
      <c r="A39" s="49" t="s">
        <v>61</v>
      </c>
      <c r="B39" s="50"/>
      <c r="C39" s="51"/>
      <c r="D39" s="52">
        <v>8727</v>
      </c>
      <c r="E39" s="52">
        <v>8364</v>
      </c>
      <c r="F39" s="52">
        <v>9584</v>
      </c>
      <c r="G39" s="52">
        <v>11024</v>
      </c>
      <c r="H39" s="52">
        <v>12634</v>
      </c>
      <c r="I39" s="52">
        <v>16164</v>
      </c>
      <c r="J39" s="52">
        <v>16603</v>
      </c>
      <c r="K39" s="52">
        <v>13901</v>
      </c>
      <c r="L39" s="52">
        <v>13970</v>
      </c>
      <c r="M39" s="52">
        <v>11253</v>
      </c>
      <c r="N39" s="53">
        <v>11221</v>
      </c>
      <c r="O39" s="53">
        <v>13357</v>
      </c>
      <c r="P39" s="52">
        <v>10011</v>
      </c>
      <c r="Q39" s="53">
        <v>8374</v>
      </c>
      <c r="R39" s="53">
        <v>12271</v>
      </c>
      <c r="S39" s="53">
        <v>13557</v>
      </c>
      <c r="T39" s="179">
        <v>10782</v>
      </c>
      <c r="U39" s="179">
        <v>10897</v>
      </c>
      <c r="V39" s="179">
        <v>15357</v>
      </c>
      <c r="W39" s="179">
        <v>17829</v>
      </c>
      <c r="X39" s="179">
        <v>18882</v>
      </c>
      <c r="Y39" s="179">
        <v>22277</v>
      </c>
      <c r="Z39" s="179">
        <v>24280</v>
      </c>
      <c r="AA39" s="179">
        <v>29092</v>
      </c>
      <c r="AB39" s="244">
        <v>21566.82</v>
      </c>
      <c r="AC39" s="179">
        <v>32001</v>
      </c>
      <c r="AD39" s="179">
        <v>3513</v>
      </c>
    </row>
    <row r="40" spans="1:30" ht="20.100000000000001" customHeight="1" x14ac:dyDescent="0.2">
      <c r="A40" s="49" t="s">
        <v>47</v>
      </c>
      <c r="B40" s="50"/>
      <c r="C40" s="51"/>
      <c r="D40" s="53">
        <v>938</v>
      </c>
      <c r="E40" s="53">
        <v>986</v>
      </c>
      <c r="F40" s="52">
        <v>1445</v>
      </c>
      <c r="G40" s="53">
        <v>845</v>
      </c>
      <c r="H40" s="53">
        <v>452</v>
      </c>
      <c r="I40" s="52">
        <v>446</v>
      </c>
      <c r="J40" s="52">
        <v>566</v>
      </c>
      <c r="K40" s="52">
        <v>1116</v>
      </c>
      <c r="L40" s="52">
        <v>1252</v>
      </c>
      <c r="M40" s="52">
        <v>462</v>
      </c>
      <c r="N40" s="53">
        <v>698</v>
      </c>
      <c r="O40" s="53">
        <v>522</v>
      </c>
      <c r="P40" s="52">
        <v>784</v>
      </c>
      <c r="Q40" s="53">
        <v>908</v>
      </c>
      <c r="R40" s="53">
        <v>801</v>
      </c>
      <c r="S40" s="53">
        <v>506</v>
      </c>
      <c r="T40" s="179">
        <v>568</v>
      </c>
      <c r="U40" s="179">
        <v>507</v>
      </c>
      <c r="V40" s="179">
        <v>778</v>
      </c>
      <c r="W40" s="179">
        <v>1268</v>
      </c>
      <c r="X40" s="179">
        <v>1536</v>
      </c>
      <c r="Y40" s="179">
        <v>1331</v>
      </c>
      <c r="Z40" s="179">
        <v>1119</v>
      </c>
      <c r="AA40" s="179">
        <v>1378</v>
      </c>
      <c r="AB40" s="244">
        <v>2044.92</v>
      </c>
      <c r="AC40" s="179">
        <v>1221</v>
      </c>
      <c r="AD40" s="179">
        <v>496</v>
      </c>
    </row>
    <row r="41" spans="1:30" ht="20.100000000000001" customHeight="1" x14ac:dyDescent="0.2">
      <c r="A41" s="120" t="s">
        <v>48</v>
      </c>
      <c r="B41" s="50"/>
      <c r="C41" s="51"/>
      <c r="D41" s="52">
        <v>3867</v>
      </c>
      <c r="E41" s="52">
        <v>3949</v>
      </c>
      <c r="F41" s="52">
        <v>4210</v>
      </c>
      <c r="G41" s="52">
        <v>3423</v>
      </c>
      <c r="H41" s="296">
        <v>3426</v>
      </c>
      <c r="I41" s="296">
        <v>3335</v>
      </c>
      <c r="J41" s="296">
        <v>3660</v>
      </c>
      <c r="K41" s="296">
        <v>4520</v>
      </c>
      <c r="L41" s="299">
        <v>3889</v>
      </c>
      <c r="M41" s="299">
        <v>8020</v>
      </c>
      <c r="N41" s="299">
        <v>8202</v>
      </c>
      <c r="O41" s="299">
        <f>12600+175</f>
        <v>12775</v>
      </c>
      <c r="P41" s="299">
        <v>13656</v>
      </c>
      <c r="Q41" s="299">
        <f>9447+33</f>
        <v>9480</v>
      </c>
      <c r="R41" s="299">
        <f>84+8683</f>
        <v>8767</v>
      </c>
      <c r="S41" s="299">
        <v>12199</v>
      </c>
      <c r="T41" s="301">
        <f>12010+53</f>
        <v>12063</v>
      </c>
      <c r="U41" s="301">
        <f>13580+59</f>
        <v>13639</v>
      </c>
      <c r="V41" s="301">
        <v>10689</v>
      </c>
      <c r="W41" s="301">
        <v>10375</v>
      </c>
      <c r="X41" s="301">
        <v>9740</v>
      </c>
      <c r="Y41" s="301">
        <v>14487</v>
      </c>
      <c r="Z41" s="301">
        <v>17223</v>
      </c>
      <c r="AA41" s="301">
        <v>11225</v>
      </c>
      <c r="AB41" s="301">
        <v>10798</v>
      </c>
      <c r="AC41" s="301">
        <v>10170</v>
      </c>
      <c r="AD41" s="301">
        <v>10612</v>
      </c>
    </row>
    <row r="42" spans="1:30" ht="20.100000000000001" customHeight="1" x14ac:dyDescent="0.2">
      <c r="A42" s="120" t="s">
        <v>49</v>
      </c>
      <c r="B42" s="50"/>
      <c r="C42" s="51"/>
      <c r="D42" s="52"/>
      <c r="E42" s="52"/>
      <c r="F42" s="52"/>
      <c r="G42" s="52"/>
      <c r="H42" s="297"/>
      <c r="I42" s="297"/>
      <c r="J42" s="297"/>
      <c r="K42" s="297"/>
      <c r="L42" s="300"/>
      <c r="M42" s="300"/>
      <c r="N42" s="300"/>
      <c r="O42" s="300"/>
      <c r="P42" s="300"/>
      <c r="Q42" s="300"/>
      <c r="R42" s="300"/>
      <c r="S42" s="300"/>
      <c r="T42" s="302"/>
      <c r="U42" s="302"/>
      <c r="V42" s="302"/>
      <c r="W42" s="302"/>
      <c r="X42" s="302"/>
      <c r="Y42" s="302"/>
      <c r="Z42" s="302"/>
      <c r="AA42" s="302"/>
      <c r="AB42" s="302"/>
      <c r="AC42" s="302"/>
      <c r="AD42" s="302"/>
    </row>
    <row r="43" spans="1:30" ht="20.100000000000001" customHeight="1" x14ac:dyDescent="0.2">
      <c r="A43" s="49" t="s">
        <v>50</v>
      </c>
      <c r="B43" s="50"/>
      <c r="C43" s="51"/>
      <c r="D43" s="52">
        <v>6021</v>
      </c>
      <c r="E43" s="52">
        <v>6121</v>
      </c>
      <c r="F43" s="52">
        <v>6435</v>
      </c>
      <c r="G43" s="52">
        <v>5499</v>
      </c>
      <c r="H43" s="52">
        <v>4542</v>
      </c>
      <c r="I43" s="52">
        <v>4471</v>
      </c>
      <c r="J43" s="52">
        <v>5192</v>
      </c>
      <c r="K43" s="52">
        <v>6153</v>
      </c>
      <c r="L43" s="52">
        <v>6838</v>
      </c>
      <c r="M43" s="52">
        <v>8956</v>
      </c>
      <c r="N43" s="53">
        <v>9197</v>
      </c>
      <c r="O43" s="53">
        <v>6841</v>
      </c>
      <c r="P43" s="52">
        <v>10374</v>
      </c>
      <c r="Q43" s="53">
        <v>11172</v>
      </c>
      <c r="R43" s="53">
        <v>13603</v>
      </c>
      <c r="S43" s="53">
        <v>15016</v>
      </c>
      <c r="T43" s="179">
        <v>15397</v>
      </c>
      <c r="U43" s="179">
        <v>15699</v>
      </c>
      <c r="V43" s="179">
        <v>11903</v>
      </c>
      <c r="W43" s="179">
        <v>13992</v>
      </c>
      <c r="X43" s="179">
        <v>18543</v>
      </c>
      <c r="Y43" s="179">
        <v>20711</v>
      </c>
      <c r="Z43" s="179">
        <v>19752</v>
      </c>
      <c r="AA43" s="179">
        <v>16845</v>
      </c>
      <c r="AB43" s="242">
        <v>17447.27</v>
      </c>
      <c r="AC43" s="179">
        <v>15181</v>
      </c>
      <c r="AD43" s="179">
        <v>448</v>
      </c>
    </row>
    <row r="44" spans="1:30" ht="20.100000000000001" customHeight="1" x14ac:dyDescent="0.2">
      <c r="A44" s="49" t="s">
        <v>70</v>
      </c>
      <c r="B44" s="50"/>
      <c r="C44" s="51"/>
      <c r="D44" s="52">
        <v>920</v>
      </c>
      <c r="E44" s="52">
        <v>1430</v>
      </c>
      <c r="F44" s="52">
        <v>1401</v>
      </c>
      <c r="G44" s="52">
        <v>2902</v>
      </c>
      <c r="H44" s="52">
        <v>5478</v>
      </c>
      <c r="I44" s="52">
        <v>2264</v>
      </c>
      <c r="J44" s="52">
        <v>2606</v>
      </c>
      <c r="K44" s="52">
        <v>2895</v>
      </c>
      <c r="L44" s="52">
        <v>3097</v>
      </c>
      <c r="M44" s="52">
        <v>1770</v>
      </c>
      <c r="N44" s="53">
        <v>1822</v>
      </c>
      <c r="O44" s="53">
        <v>987</v>
      </c>
      <c r="P44" s="52">
        <v>1861</v>
      </c>
      <c r="Q44" s="53">
        <v>2416</v>
      </c>
      <c r="R44" s="53">
        <v>1923</v>
      </c>
      <c r="S44" s="53">
        <v>1561</v>
      </c>
      <c r="T44" s="179">
        <v>1879</v>
      </c>
      <c r="U44" s="179">
        <v>3935</v>
      </c>
      <c r="V44" s="179">
        <v>5597</v>
      </c>
      <c r="W44" s="179">
        <v>4223</v>
      </c>
      <c r="X44" s="179">
        <v>4971</v>
      </c>
      <c r="Y44" s="179">
        <v>4812</v>
      </c>
      <c r="Z44" s="179">
        <v>5437</v>
      </c>
      <c r="AA44" s="179">
        <v>5445</v>
      </c>
      <c r="AB44" s="242">
        <v>5302.09</v>
      </c>
      <c r="AC44" s="179">
        <v>6408</v>
      </c>
      <c r="AD44" s="179">
        <v>123</v>
      </c>
    </row>
    <row r="45" spans="1:30" ht="20.100000000000001" customHeight="1" x14ac:dyDescent="0.2">
      <c r="A45" s="49" t="s">
        <v>51</v>
      </c>
      <c r="B45" s="50"/>
      <c r="C45" s="51"/>
      <c r="D45" s="52">
        <v>15822</v>
      </c>
      <c r="E45" s="52">
        <v>14607</v>
      </c>
      <c r="F45" s="52">
        <v>15048</v>
      </c>
      <c r="G45" s="52">
        <v>14062</v>
      </c>
      <c r="H45" s="52">
        <v>14026</v>
      </c>
      <c r="I45" s="52">
        <v>13796</v>
      </c>
      <c r="J45" s="52">
        <v>14410</v>
      </c>
      <c r="K45" s="52">
        <v>14619</v>
      </c>
      <c r="L45" s="52">
        <v>14195</v>
      </c>
      <c r="M45" s="52">
        <v>13848</v>
      </c>
      <c r="N45" s="53">
        <v>14435</v>
      </c>
      <c r="O45" s="53">
        <v>14810</v>
      </c>
      <c r="P45" s="52">
        <v>15994</v>
      </c>
      <c r="Q45" s="53">
        <v>16760</v>
      </c>
      <c r="R45" s="53">
        <v>17301</v>
      </c>
      <c r="S45" s="53">
        <v>17461</v>
      </c>
      <c r="T45" s="179">
        <v>17815</v>
      </c>
      <c r="U45" s="179">
        <v>18751</v>
      </c>
      <c r="V45" s="179">
        <v>19398</v>
      </c>
      <c r="W45" s="179">
        <v>20016</v>
      </c>
      <c r="X45" s="179">
        <v>21131</v>
      </c>
      <c r="Y45" s="179">
        <v>22284</v>
      </c>
      <c r="Z45" s="179">
        <v>23192</v>
      </c>
      <c r="AA45" s="179">
        <v>24161</v>
      </c>
      <c r="AB45" s="242">
        <v>24363</v>
      </c>
      <c r="AC45" s="179">
        <v>23516</v>
      </c>
      <c r="AD45" s="179"/>
    </row>
    <row r="46" spans="1:30" ht="20.100000000000001" customHeight="1" x14ac:dyDescent="0.2">
      <c r="A46" s="49" t="s">
        <v>52</v>
      </c>
      <c r="B46" s="50"/>
      <c r="C46" s="51"/>
      <c r="D46" s="52">
        <v>10614</v>
      </c>
      <c r="E46" s="52">
        <v>11620</v>
      </c>
      <c r="F46" s="52">
        <v>12834</v>
      </c>
      <c r="G46" s="52">
        <v>12025</v>
      </c>
      <c r="H46" s="52">
        <v>11645</v>
      </c>
      <c r="I46" s="52">
        <v>11664</v>
      </c>
      <c r="J46" s="52">
        <v>13282</v>
      </c>
      <c r="K46" s="52">
        <v>14414</v>
      </c>
      <c r="L46" s="52">
        <v>15357</v>
      </c>
      <c r="M46" s="52">
        <v>16036</v>
      </c>
      <c r="N46" s="53">
        <v>14627</v>
      </c>
      <c r="O46" s="53">
        <v>12981</v>
      </c>
      <c r="P46" s="52">
        <v>16381</v>
      </c>
      <c r="Q46" s="53">
        <v>18479</v>
      </c>
      <c r="R46" s="53">
        <f>376+9799+8195</f>
        <v>18370</v>
      </c>
      <c r="S46" s="53">
        <v>18579</v>
      </c>
      <c r="T46" s="179">
        <v>19236</v>
      </c>
      <c r="U46" s="179">
        <v>20643</v>
      </c>
      <c r="V46" s="179">
        <v>22319</v>
      </c>
      <c r="W46" s="179">
        <v>24145</v>
      </c>
      <c r="X46" s="179">
        <v>24863</v>
      </c>
      <c r="Y46" s="179">
        <v>25854</v>
      </c>
      <c r="Z46" s="179">
        <v>23773</v>
      </c>
      <c r="AA46" s="179">
        <v>23627</v>
      </c>
      <c r="AB46" s="179">
        <v>24956</v>
      </c>
      <c r="AC46" s="179">
        <v>24445</v>
      </c>
      <c r="AD46" s="179">
        <v>15796</v>
      </c>
    </row>
    <row r="47" spans="1:30" ht="17.25" customHeight="1" x14ac:dyDescent="0.2">
      <c r="A47" s="49" t="s">
        <v>53</v>
      </c>
      <c r="B47" s="50"/>
      <c r="C47" s="51"/>
      <c r="D47" s="52">
        <v>4549</v>
      </c>
      <c r="E47" s="52">
        <v>4711</v>
      </c>
      <c r="F47" s="52">
        <v>3392</v>
      </c>
      <c r="G47" s="52">
        <v>2971</v>
      </c>
      <c r="H47" s="52">
        <v>2824</v>
      </c>
      <c r="I47" s="52">
        <v>3076</v>
      </c>
      <c r="J47" s="52">
        <v>3848</v>
      </c>
      <c r="K47" s="52">
        <v>4873</v>
      </c>
      <c r="L47" s="52">
        <v>3158</v>
      </c>
      <c r="M47" s="52">
        <v>3750</v>
      </c>
      <c r="N47" s="53">
        <v>4776</v>
      </c>
      <c r="O47" s="53">
        <v>4904</v>
      </c>
      <c r="P47" s="52">
        <v>3289</v>
      </c>
      <c r="Q47" s="53">
        <v>3041</v>
      </c>
      <c r="R47" s="53">
        <v>4272</v>
      </c>
      <c r="S47" s="53">
        <v>4164</v>
      </c>
      <c r="T47" s="179">
        <v>4313</v>
      </c>
      <c r="U47" s="179">
        <v>4333</v>
      </c>
      <c r="V47" s="179">
        <v>4191</v>
      </c>
      <c r="W47" s="179">
        <v>5170</v>
      </c>
      <c r="X47" s="179">
        <v>6632</v>
      </c>
      <c r="Y47" s="179">
        <v>5923</v>
      </c>
      <c r="Z47" s="179">
        <v>5823</v>
      </c>
      <c r="AA47" s="179">
        <v>5660</v>
      </c>
      <c r="AB47" s="245">
        <v>6178.25</v>
      </c>
      <c r="AC47" s="179">
        <v>5121</v>
      </c>
      <c r="AD47" s="179">
        <v>2020</v>
      </c>
    </row>
    <row r="48" spans="1:30" ht="20.100000000000001" customHeight="1" x14ac:dyDescent="0.2">
      <c r="A48" s="49" t="s">
        <v>54</v>
      </c>
      <c r="B48" s="50"/>
      <c r="C48" s="51"/>
      <c r="D48" s="53"/>
      <c r="E48" s="53"/>
      <c r="F48" s="53"/>
      <c r="G48" s="53"/>
      <c r="H48" s="53"/>
      <c r="I48" s="52"/>
      <c r="J48" s="52"/>
      <c r="K48" s="266"/>
      <c r="L48" s="52"/>
      <c r="M48" s="52">
        <f>309718-306411</f>
        <v>3307</v>
      </c>
      <c r="N48" s="53">
        <f>313507-309814</f>
        <v>3693</v>
      </c>
      <c r="O48" s="53">
        <f>324081-320709</f>
        <v>3372</v>
      </c>
      <c r="P48" s="53">
        <v>1983</v>
      </c>
      <c r="Q48" s="53">
        <v>4038</v>
      </c>
      <c r="R48" s="53">
        <v>4443</v>
      </c>
      <c r="S48" s="53">
        <v>3454</v>
      </c>
      <c r="T48" s="179">
        <f>936+1875+6+97+36+535+1163</f>
        <v>4648</v>
      </c>
      <c r="U48" s="179">
        <v>3084</v>
      </c>
      <c r="V48" s="179">
        <v>3253</v>
      </c>
      <c r="W48" s="179">
        <f>379725-372794</f>
        <v>6931</v>
      </c>
      <c r="X48" s="179">
        <v>4884</v>
      </c>
      <c r="Y48" s="196">
        <v>4004</v>
      </c>
      <c r="Z48" s="196">
        <v>3665</v>
      </c>
      <c r="AA48" s="196">
        <v>5403</v>
      </c>
      <c r="AB48" s="241">
        <v>5663</v>
      </c>
      <c r="AC48" s="196">
        <v>4792</v>
      </c>
      <c r="AD48" s="196">
        <v>11814</v>
      </c>
    </row>
    <row r="49" spans="1:30" ht="20.100000000000001" customHeight="1" x14ac:dyDescent="0.2">
      <c r="A49" s="260" t="s">
        <v>55</v>
      </c>
      <c r="B49" s="261"/>
      <c r="C49" s="262"/>
      <c r="D49" s="263">
        <v>325730</v>
      </c>
      <c r="E49" s="263">
        <v>352700</v>
      </c>
      <c r="F49" s="263">
        <v>346734</v>
      </c>
      <c r="G49" s="263">
        <v>334800</v>
      </c>
      <c r="H49" s="263">
        <v>335240</v>
      </c>
      <c r="I49" s="263">
        <v>330702</v>
      </c>
      <c r="J49" s="263">
        <v>289952</v>
      </c>
      <c r="K49" s="263">
        <f t="shared" ref="K49:R49" si="6">+K39+K40+K41+K43+K44+K45+K46+K47+K38+K29+K17+K48</f>
        <v>340974</v>
      </c>
      <c r="L49" s="263">
        <f t="shared" si="6"/>
        <v>324575</v>
      </c>
      <c r="M49" s="263">
        <f t="shared" si="6"/>
        <v>309718</v>
      </c>
      <c r="N49" s="263">
        <f t="shared" si="6"/>
        <v>313507</v>
      </c>
      <c r="O49" s="263">
        <f t="shared" si="6"/>
        <v>324081</v>
      </c>
      <c r="P49" s="263">
        <f t="shared" si="6"/>
        <v>349803</v>
      </c>
      <c r="Q49" s="263">
        <f t="shared" si="6"/>
        <v>324534</v>
      </c>
      <c r="R49" s="263">
        <f t="shared" si="6"/>
        <v>316855</v>
      </c>
      <c r="S49" s="263">
        <f t="shared" ref="S49:Y49" si="7">+S39+S40+S41+S43+S44+S45+S46+S47+S38+S29+S17+S48</f>
        <v>345068</v>
      </c>
      <c r="T49" s="264">
        <f t="shared" si="7"/>
        <v>360299</v>
      </c>
      <c r="U49" s="264">
        <f t="shared" si="7"/>
        <v>397273</v>
      </c>
      <c r="V49" s="264">
        <f t="shared" si="7"/>
        <v>387101</v>
      </c>
      <c r="W49" s="264">
        <f t="shared" si="7"/>
        <v>382725</v>
      </c>
      <c r="X49" s="264">
        <f t="shared" si="7"/>
        <v>383966</v>
      </c>
      <c r="Y49" s="264">
        <f t="shared" si="7"/>
        <v>385934</v>
      </c>
      <c r="Z49" s="264">
        <f>+Z39+Z40+Z41+Z43+Z44+Z45+Z46+Z47+Z38+Z29+Z17+Z48</f>
        <v>385873.55</v>
      </c>
      <c r="AA49" s="264">
        <f>+AA39+AA40+AA41+AA43+AA44+AA45+AA46+AA47+AA38+AA29+AA17+AA48</f>
        <v>394068.25</v>
      </c>
      <c r="AB49" s="264">
        <f>+AB39+AB40+AB41+AB43+AB44+AB45+AB46+AB47+AB38+AB29+AB17+AB48</f>
        <v>402959.89999999997</v>
      </c>
      <c r="AC49" s="264">
        <f>+AC39+AC40+AC41+AC43+AC44+AC45+AC46+AC47+AC38+AC29+AC17+AC48</f>
        <v>394262.30000000005</v>
      </c>
      <c r="AD49" s="264">
        <f>+AD39+AD40+AD41+AD43+AD44+AD45+AD46+AD47+AD38+AD29+AD17+AD48</f>
        <v>207499</v>
      </c>
    </row>
    <row r="50" spans="1:30" x14ac:dyDescent="0.2">
      <c r="F50" s="47" t="s">
        <v>32</v>
      </c>
      <c r="G50" s="47" t="s">
        <v>32</v>
      </c>
    </row>
    <row r="51" spans="1:30" x14ac:dyDescent="0.2">
      <c r="J51" s="59"/>
      <c r="N51" s="59"/>
    </row>
    <row r="53" spans="1:30" x14ac:dyDescent="0.2">
      <c r="T53" s="161"/>
      <c r="U53" s="168"/>
      <c r="V53" s="168"/>
    </row>
  </sheetData>
  <mergeCells count="24">
    <mergeCell ref="AD41:AD42"/>
    <mergeCell ref="O41:O42"/>
    <mergeCell ref="R41:R42"/>
    <mergeCell ref="T41:T42"/>
    <mergeCell ref="P41:P42"/>
    <mergeCell ref="W41:W42"/>
    <mergeCell ref="V41:V42"/>
    <mergeCell ref="U41:U42"/>
    <mergeCell ref="AC41:AC42"/>
    <mergeCell ref="AB41:AB42"/>
    <mergeCell ref="AA41:AA42"/>
    <mergeCell ref="Y41:Y42"/>
    <mergeCell ref="X41:X42"/>
    <mergeCell ref="S41:S42"/>
    <mergeCell ref="M41:M42"/>
    <mergeCell ref="Q41:Q42"/>
    <mergeCell ref="N41:N42"/>
    <mergeCell ref="Z41:Z42"/>
    <mergeCell ref="A2:I2"/>
    <mergeCell ref="H41:H42"/>
    <mergeCell ref="I41:I42"/>
    <mergeCell ref="J41:J42"/>
    <mergeCell ref="L41:L42"/>
    <mergeCell ref="K41:K4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7" orientation="portrait" horizontalDpi="300" verticalDpi="300" r:id="rId1"/>
  <headerFooter alignWithMargins="0"/>
  <colBreaks count="1" manualBreakCount="1">
    <brk id="16" max="7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F50"/>
  <sheetViews>
    <sheetView topLeftCell="S1" zoomScaleNormal="100" workbookViewId="0">
      <pane ySplit="5" topLeftCell="A41" activePane="bottomLeft" state="frozen"/>
      <selection activeCell="AA35" sqref="AA35"/>
      <selection pane="bottomLeft" activeCell="AC48" sqref="AC48"/>
    </sheetView>
  </sheetViews>
  <sheetFormatPr defaultColWidth="11.42578125" defaultRowHeight="12.75" x14ac:dyDescent="0.2"/>
  <cols>
    <col min="1" max="2" width="11.42578125" customWidth="1"/>
    <col min="3" max="3" width="2.42578125" customWidth="1"/>
    <col min="4" max="4" width="9.85546875" hidden="1" customWidth="1"/>
    <col min="5" max="5" width="10.7109375" hidden="1" customWidth="1"/>
    <col min="6" max="6" width="10.42578125" hidden="1" customWidth="1"/>
    <col min="7" max="7" width="10.140625" hidden="1" customWidth="1"/>
    <col min="8" max="8" width="11.42578125" hidden="1" customWidth="1"/>
    <col min="9" max="10" width="10.28515625" hidden="1" customWidth="1"/>
    <col min="11" max="11" width="10.140625" style="23" hidden="1" customWidth="1"/>
    <col min="12" max="12" width="0" style="23" hidden="1" customWidth="1"/>
    <col min="13" max="15" width="0" hidden="1" customWidth="1"/>
    <col min="16" max="27" width="12" customWidth="1"/>
  </cols>
  <sheetData>
    <row r="1" spans="1:32" ht="17.100000000000001" customHeight="1" x14ac:dyDescent="0.25">
      <c r="A1" s="69" t="s">
        <v>71</v>
      </c>
      <c r="B1" s="70"/>
      <c r="C1" s="70"/>
      <c r="D1" s="70"/>
      <c r="E1" s="1"/>
      <c r="F1" s="1"/>
      <c r="G1" s="1"/>
      <c r="H1" s="1"/>
      <c r="I1" s="1"/>
    </row>
    <row r="2" spans="1:32" ht="17.100000000000001" customHeight="1" x14ac:dyDescent="0.2">
      <c r="A2" s="298" t="s">
        <v>10</v>
      </c>
      <c r="B2" s="298"/>
      <c r="C2" s="298"/>
      <c r="D2" s="298"/>
      <c r="E2" s="298"/>
      <c r="F2" s="298"/>
      <c r="G2" s="298"/>
      <c r="H2" s="298"/>
      <c r="I2" s="298"/>
      <c r="J2" s="304"/>
      <c r="P2" s="166"/>
      <c r="Q2" s="166"/>
    </row>
    <row r="3" spans="1:32" ht="4.5" customHeight="1" x14ac:dyDescent="0.2">
      <c r="A3" s="304"/>
      <c r="B3" s="304"/>
      <c r="C3" s="304"/>
      <c r="D3" s="304"/>
      <c r="E3" s="304"/>
      <c r="F3" s="304"/>
      <c r="G3" s="304"/>
      <c r="H3" s="304"/>
      <c r="I3" s="304"/>
      <c r="J3" s="304"/>
    </row>
    <row r="4" spans="1:32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01"/>
    </row>
    <row r="5" spans="1:32" s="38" customFormat="1" ht="20.100000000000001" customHeight="1" x14ac:dyDescent="0.25">
      <c r="A5" s="71" t="s">
        <v>11</v>
      </c>
      <c r="B5" s="72"/>
      <c r="C5" s="7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74">
        <v>2002</v>
      </c>
      <c r="J5" s="74">
        <v>2003</v>
      </c>
      <c r="K5" s="75">
        <v>2004</v>
      </c>
      <c r="L5" s="75">
        <v>2005</v>
      </c>
      <c r="M5" s="75">
        <v>2006</v>
      </c>
      <c r="N5" s="75">
        <v>2007</v>
      </c>
      <c r="O5" s="75">
        <v>2008</v>
      </c>
      <c r="P5" s="75">
        <v>2009</v>
      </c>
      <c r="Q5" s="75">
        <v>2010</v>
      </c>
      <c r="R5" s="75">
        <v>2011</v>
      </c>
      <c r="S5" s="75">
        <v>2012</v>
      </c>
      <c r="T5" s="75">
        <v>2013</v>
      </c>
      <c r="U5" s="75">
        <v>2014</v>
      </c>
      <c r="V5" s="75">
        <v>2015</v>
      </c>
      <c r="W5" s="75">
        <v>2016</v>
      </c>
      <c r="X5" s="75">
        <v>2017</v>
      </c>
      <c r="Y5" s="75">
        <v>2018</v>
      </c>
      <c r="Z5" s="75">
        <v>2019</v>
      </c>
      <c r="AA5" s="75">
        <v>2020</v>
      </c>
      <c r="AB5" s="75">
        <v>2021</v>
      </c>
      <c r="AC5" s="75">
        <v>2022</v>
      </c>
    </row>
    <row r="6" spans="1:32" s="38" customFormat="1" ht="20.100000000000001" customHeight="1" x14ac:dyDescent="0.25">
      <c r="A6" s="251" t="s">
        <v>13</v>
      </c>
      <c r="B6" s="21"/>
      <c r="C6" s="22"/>
      <c r="D6" s="6">
        <v>23024</v>
      </c>
      <c r="E6" s="6">
        <v>19187</v>
      </c>
      <c r="F6" s="6">
        <v>22538</v>
      </c>
      <c r="G6" s="6">
        <v>18769</v>
      </c>
      <c r="H6" s="6">
        <v>17762</v>
      </c>
      <c r="I6" s="6">
        <v>18102</v>
      </c>
      <c r="J6" s="156">
        <v>20814</v>
      </c>
      <c r="K6" s="156">
        <v>19539</v>
      </c>
      <c r="L6" s="156">
        <v>15608</v>
      </c>
      <c r="M6" s="156">
        <v>14633</v>
      </c>
      <c r="N6" s="157">
        <v>14198</v>
      </c>
      <c r="O6" s="158">
        <v>18252</v>
      </c>
      <c r="P6" s="158">
        <v>12523</v>
      </c>
      <c r="Q6" s="156">
        <v>8935</v>
      </c>
      <c r="R6" s="156">
        <v>9780</v>
      </c>
      <c r="S6" s="157">
        <v>10073</v>
      </c>
      <c r="T6" s="205">
        <v>9480</v>
      </c>
      <c r="U6" s="205">
        <v>8292</v>
      </c>
      <c r="V6" s="205">
        <v>8083</v>
      </c>
      <c r="W6" s="205">
        <v>7759</v>
      </c>
      <c r="X6" s="205">
        <v>8111</v>
      </c>
      <c r="Y6" s="205">
        <v>10014</v>
      </c>
      <c r="Z6" s="205">
        <v>9728</v>
      </c>
      <c r="AA6" s="205">
        <v>9168</v>
      </c>
      <c r="AB6" s="205">
        <v>7984</v>
      </c>
      <c r="AC6" s="205">
        <v>9111</v>
      </c>
      <c r="AE6" s="246"/>
      <c r="AF6" s="246"/>
    </row>
    <row r="7" spans="1:32" s="23" customFormat="1" ht="20.100000000000001" customHeight="1" x14ac:dyDescent="0.2">
      <c r="A7" s="25" t="s">
        <v>14</v>
      </c>
      <c r="B7" s="26"/>
      <c r="C7" s="27"/>
      <c r="D7" s="6">
        <v>36733</v>
      </c>
      <c r="E7" s="6">
        <v>36964</v>
      </c>
      <c r="F7" s="6">
        <v>35592</v>
      </c>
      <c r="G7" s="6">
        <v>34383</v>
      </c>
      <c r="H7" s="6">
        <v>32995</v>
      </c>
      <c r="I7" s="6">
        <v>30238</v>
      </c>
      <c r="J7" s="156">
        <v>30210</v>
      </c>
      <c r="K7" s="156">
        <v>34218</v>
      </c>
      <c r="L7" s="156">
        <v>29714</v>
      </c>
      <c r="M7" s="156">
        <v>29142</v>
      </c>
      <c r="N7" s="157">
        <v>28540</v>
      </c>
      <c r="O7" s="158">
        <v>30048</v>
      </c>
      <c r="P7" s="158">
        <v>28167</v>
      </c>
      <c r="Q7" s="156">
        <v>23813</v>
      </c>
      <c r="R7" s="156">
        <v>22686</v>
      </c>
      <c r="S7" s="157">
        <v>24524</v>
      </c>
      <c r="T7" s="206">
        <v>29031</v>
      </c>
      <c r="U7" s="206">
        <v>26009</v>
      </c>
      <c r="V7" s="206">
        <v>24606</v>
      </c>
      <c r="W7" s="206">
        <v>18762</v>
      </c>
      <c r="X7" s="206">
        <v>20941</v>
      </c>
      <c r="Y7" s="206">
        <v>21278</v>
      </c>
      <c r="Z7" s="206">
        <v>24898</v>
      </c>
      <c r="AA7" s="206">
        <v>25584</v>
      </c>
      <c r="AB7" s="206">
        <v>24391</v>
      </c>
      <c r="AC7" s="206">
        <v>22842</v>
      </c>
      <c r="AE7" s="31"/>
      <c r="AF7" s="31"/>
    </row>
    <row r="8" spans="1:32" s="23" customFormat="1" ht="20.100000000000001" customHeight="1" x14ac:dyDescent="0.2">
      <c r="A8" s="25" t="s">
        <v>58</v>
      </c>
      <c r="B8" s="26"/>
      <c r="C8" s="27"/>
      <c r="D8" s="6">
        <v>7757</v>
      </c>
      <c r="E8" s="6">
        <v>6757</v>
      </c>
      <c r="F8" s="6">
        <v>6786</v>
      </c>
      <c r="G8" s="6">
        <v>6105</v>
      </c>
      <c r="H8" s="6">
        <v>6527</v>
      </c>
      <c r="I8" s="6">
        <v>6863</v>
      </c>
      <c r="J8" s="156">
        <v>7406</v>
      </c>
      <c r="K8" s="156">
        <v>6331</v>
      </c>
      <c r="L8" s="156">
        <v>5242</v>
      </c>
      <c r="M8" s="156">
        <v>4640</v>
      </c>
      <c r="N8" s="157">
        <v>4769</v>
      </c>
      <c r="O8" s="158">
        <v>5129</v>
      </c>
      <c r="P8" s="158">
        <v>4720</v>
      </c>
      <c r="Q8" s="156">
        <v>3828</v>
      </c>
      <c r="R8" s="156">
        <v>3728</v>
      </c>
      <c r="S8" s="157">
        <v>4168</v>
      </c>
      <c r="T8" s="205">
        <v>4194</v>
      </c>
      <c r="U8" s="205">
        <v>3260</v>
      </c>
      <c r="V8" s="205">
        <v>2598</v>
      </c>
      <c r="W8" s="205">
        <v>3833</v>
      </c>
      <c r="X8" s="205">
        <v>3741</v>
      </c>
      <c r="Y8" s="205">
        <v>4410</v>
      </c>
      <c r="Z8" s="205">
        <v>4697</v>
      </c>
      <c r="AA8" s="205">
        <v>5568</v>
      </c>
      <c r="AB8" s="205">
        <v>6460</v>
      </c>
      <c r="AC8" s="205">
        <v>5546</v>
      </c>
      <c r="AE8" s="150"/>
      <c r="AF8" s="150"/>
    </row>
    <row r="9" spans="1:32" s="23" customFormat="1" ht="20.100000000000001" customHeight="1" x14ac:dyDescent="0.2">
      <c r="A9" s="25" t="s">
        <v>72</v>
      </c>
      <c r="B9" s="26"/>
      <c r="C9" s="27"/>
      <c r="D9" s="6">
        <v>361</v>
      </c>
      <c r="E9" s="6">
        <v>476</v>
      </c>
      <c r="F9" s="6">
        <v>432</v>
      </c>
      <c r="G9" s="6">
        <v>372</v>
      </c>
      <c r="H9" s="6">
        <v>321</v>
      </c>
      <c r="I9" s="6">
        <v>221</v>
      </c>
      <c r="J9" s="156">
        <v>266</v>
      </c>
      <c r="K9" s="156">
        <v>405</v>
      </c>
      <c r="L9" s="156">
        <v>259</v>
      </c>
      <c r="M9" s="156">
        <v>300</v>
      </c>
      <c r="N9" s="157">
        <v>345</v>
      </c>
      <c r="O9" s="158">
        <v>345</v>
      </c>
      <c r="P9" s="158">
        <v>332</v>
      </c>
      <c r="Q9" s="156">
        <v>259</v>
      </c>
      <c r="R9" s="156">
        <v>344</v>
      </c>
      <c r="S9" s="157">
        <v>321</v>
      </c>
      <c r="T9" s="206">
        <v>424</v>
      </c>
      <c r="U9" s="206">
        <v>359</v>
      </c>
      <c r="V9" s="206">
        <v>349</v>
      </c>
      <c r="W9" s="206">
        <v>352</v>
      </c>
      <c r="X9" s="206">
        <v>313</v>
      </c>
      <c r="Y9" s="206">
        <v>468</v>
      </c>
      <c r="Z9" s="206">
        <v>285</v>
      </c>
      <c r="AA9" s="206">
        <v>346</v>
      </c>
      <c r="AB9" s="206">
        <v>430</v>
      </c>
      <c r="AC9" s="206">
        <v>430</v>
      </c>
    </row>
    <row r="10" spans="1:32" s="23" customFormat="1" ht="20.100000000000001" customHeight="1" x14ac:dyDescent="0.2">
      <c r="A10" s="25" t="s">
        <v>73</v>
      </c>
      <c r="B10" s="26"/>
      <c r="C10" s="27"/>
      <c r="D10" s="6">
        <v>15065</v>
      </c>
      <c r="E10" s="6">
        <v>14413</v>
      </c>
      <c r="F10" s="6">
        <v>15713</v>
      </c>
      <c r="G10" s="6">
        <v>13585</v>
      </c>
      <c r="H10" s="6">
        <v>12482</v>
      </c>
      <c r="I10" s="6">
        <v>11635</v>
      </c>
      <c r="J10" s="156">
        <v>9510</v>
      </c>
      <c r="K10" s="156">
        <v>9808</v>
      </c>
      <c r="L10" s="156">
        <v>7856</v>
      </c>
      <c r="M10" s="156">
        <v>8522</v>
      </c>
      <c r="N10" s="157">
        <v>9618</v>
      </c>
      <c r="O10" s="158">
        <v>11991</v>
      </c>
      <c r="P10" s="158">
        <v>12889</v>
      </c>
      <c r="Q10" s="156">
        <v>9274</v>
      </c>
      <c r="R10" s="156">
        <v>11125</v>
      </c>
      <c r="S10" s="157">
        <v>12988</v>
      </c>
      <c r="T10" s="206">
        <v>13162</v>
      </c>
      <c r="U10" s="206">
        <v>11361</v>
      </c>
      <c r="V10" s="206">
        <v>11544</v>
      </c>
      <c r="W10" s="206">
        <v>8911</v>
      </c>
      <c r="X10" s="206">
        <v>9264</v>
      </c>
      <c r="Y10" s="206">
        <v>10098</v>
      </c>
      <c r="Z10" s="206">
        <v>12021</v>
      </c>
      <c r="AA10" s="206">
        <v>12409</v>
      </c>
      <c r="AB10" s="206">
        <v>12513</v>
      </c>
      <c r="AC10" s="206">
        <v>14331</v>
      </c>
    </row>
    <row r="11" spans="1:32" s="23" customFormat="1" ht="20.100000000000001" customHeight="1" x14ac:dyDescent="0.2">
      <c r="A11" s="25" t="s">
        <v>74</v>
      </c>
      <c r="B11" s="26"/>
      <c r="C11" s="27"/>
      <c r="D11" s="6">
        <v>135</v>
      </c>
      <c r="E11" s="6">
        <v>257</v>
      </c>
      <c r="F11" s="6">
        <v>399</v>
      </c>
      <c r="G11" s="6">
        <v>263</v>
      </c>
      <c r="H11" s="6">
        <v>302</v>
      </c>
      <c r="I11" s="6">
        <v>402</v>
      </c>
      <c r="J11" s="156">
        <v>460</v>
      </c>
      <c r="K11" s="156">
        <v>647</v>
      </c>
      <c r="L11" s="156">
        <v>538</v>
      </c>
      <c r="M11" s="156">
        <v>638</v>
      </c>
      <c r="N11" s="157">
        <v>437</v>
      </c>
      <c r="O11" s="158">
        <v>498</v>
      </c>
      <c r="P11" s="158">
        <v>498</v>
      </c>
      <c r="Q11" s="156">
        <v>438</v>
      </c>
      <c r="R11" s="156">
        <v>673</v>
      </c>
      <c r="S11" s="157">
        <v>666</v>
      </c>
      <c r="T11" s="206">
        <v>731</v>
      </c>
      <c r="U11" s="206">
        <v>732</v>
      </c>
      <c r="V11" s="206">
        <v>653</v>
      </c>
      <c r="W11" s="206">
        <v>694</v>
      </c>
      <c r="X11" s="206">
        <v>662</v>
      </c>
      <c r="Y11" s="206">
        <v>704</v>
      </c>
      <c r="Z11" s="206">
        <v>657</v>
      </c>
      <c r="AA11" s="206">
        <v>436</v>
      </c>
      <c r="AB11" s="206">
        <v>394</v>
      </c>
      <c r="AC11" s="206">
        <v>402</v>
      </c>
    </row>
    <row r="12" spans="1:32" s="23" customFormat="1" ht="20.100000000000001" customHeight="1" x14ac:dyDescent="0.2">
      <c r="A12" s="25" t="s">
        <v>75</v>
      </c>
      <c r="B12" s="26"/>
      <c r="C12" s="27"/>
      <c r="D12" s="6">
        <v>13970</v>
      </c>
      <c r="E12" s="6">
        <v>13924</v>
      </c>
      <c r="F12" s="6">
        <v>13323</v>
      </c>
      <c r="G12" s="6">
        <v>14624</v>
      </c>
      <c r="H12" s="6">
        <v>16820</v>
      </c>
      <c r="I12" s="6">
        <v>18204</v>
      </c>
      <c r="J12" s="156">
        <v>18725</v>
      </c>
      <c r="K12" s="156">
        <v>18885</v>
      </c>
      <c r="L12" s="156">
        <v>14542</v>
      </c>
      <c r="M12" s="156">
        <v>12656</v>
      </c>
      <c r="N12" s="157">
        <v>10528</v>
      </c>
      <c r="O12" s="158">
        <v>10479</v>
      </c>
      <c r="P12" s="158">
        <v>9967</v>
      </c>
      <c r="Q12" s="156">
        <v>10092</v>
      </c>
      <c r="R12" s="156">
        <v>9949</v>
      </c>
      <c r="S12" s="157">
        <v>10367</v>
      </c>
      <c r="T12" s="205">
        <v>11011</v>
      </c>
      <c r="U12" s="205">
        <v>9566</v>
      </c>
      <c r="V12" s="205">
        <v>9453</v>
      </c>
      <c r="W12" s="205">
        <v>9607</v>
      </c>
      <c r="X12" s="205">
        <v>10379</v>
      </c>
      <c r="Y12" s="205">
        <v>10243</v>
      </c>
      <c r="Z12" s="205">
        <v>10769</v>
      </c>
      <c r="AA12" s="205">
        <v>10104</v>
      </c>
      <c r="AB12" s="205">
        <v>9341</v>
      </c>
      <c r="AC12" s="205">
        <v>9198</v>
      </c>
    </row>
    <row r="13" spans="1:32" s="23" customFormat="1" ht="20.100000000000001" customHeight="1" x14ac:dyDescent="0.2">
      <c r="A13" s="25" t="s">
        <v>19</v>
      </c>
      <c r="B13" s="26"/>
      <c r="C13" s="27"/>
      <c r="D13" s="6">
        <v>2709</v>
      </c>
      <c r="E13" s="6">
        <v>3564</v>
      </c>
      <c r="F13" s="6">
        <v>5016</v>
      </c>
      <c r="G13" s="6">
        <v>3563</v>
      </c>
      <c r="H13" s="6">
        <v>2599</v>
      </c>
      <c r="I13" s="6">
        <v>2539</v>
      </c>
      <c r="J13" s="156">
        <v>3405</v>
      </c>
      <c r="K13" s="156">
        <v>2980</v>
      </c>
      <c r="L13" s="156">
        <v>2636</v>
      </c>
      <c r="M13" s="156">
        <v>2522</v>
      </c>
      <c r="N13" s="157">
        <v>1954</v>
      </c>
      <c r="O13" s="158">
        <v>2479</v>
      </c>
      <c r="P13" s="158">
        <v>2493</v>
      </c>
      <c r="Q13" s="156">
        <v>3004</v>
      </c>
      <c r="R13" s="156">
        <v>2995</v>
      </c>
      <c r="S13" s="157">
        <v>2972</v>
      </c>
      <c r="T13" s="206">
        <v>2788</v>
      </c>
      <c r="U13" s="206">
        <v>2477</v>
      </c>
      <c r="V13" s="206">
        <v>2534</v>
      </c>
      <c r="W13" s="206">
        <v>2460</v>
      </c>
      <c r="X13" s="206">
        <v>2436</v>
      </c>
      <c r="Y13" s="206">
        <v>3357</v>
      </c>
      <c r="Z13" s="206">
        <v>2365</v>
      </c>
      <c r="AA13" s="206">
        <v>2138</v>
      </c>
      <c r="AB13" s="206">
        <v>1929</v>
      </c>
      <c r="AC13" s="206">
        <v>2319</v>
      </c>
    </row>
    <row r="14" spans="1:32" s="23" customFormat="1" ht="20.100000000000001" customHeight="1" x14ac:dyDescent="0.2">
      <c r="A14" s="25" t="s">
        <v>20</v>
      </c>
      <c r="B14" s="26"/>
      <c r="C14" s="27"/>
      <c r="D14" s="6">
        <v>57002</v>
      </c>
      <c r="E14" s="6">
        <v>61614</v>
      </c>
      <c r="F14" s="6">
        <v>64895</v>
      </c>
      <c r="G14" s="6">
        <v>69853</v>
      </c>
      <c r="H14" s="6">
        <v>66128</v>
      </c>
      <c r="I14" s="6">
        <v>63044</v>
      </c>
      <c r="J14" s="156">
        <v>68854</v>
      </c>
      <c r="K14" s="156">
        <v>75339</v>
      </c>
      <c r="L14" s="156">
        <v>67147</v>
      </c>
      <c r="M14" s="156">
        <v>64418</v>
      </c>
      <c r="N14" s="157">
        <v>62010</v>
      </c>
      <c r="O14" s="158">
        <v>62305</v>
      </c>
      <c r="P14" s="158">
        <v>57349</v>
      </c>
      <c r="Q14" s="156">
        <v>53396</v>
      </c>
      <c r="R14" s="156">
        <v>57339</v>
      </c>
      <c r="S14" s="157">
        <v>58468</v>
      </c>
      <c r="T14" s="206">
        <v>60534</v>
      </c>
      <c r="U14" s="206">
        <v>56640</v>
      </c>
      <c r="V14" s="206">
        <v>52128</v>
      </c>
      <c r="W14" s="206">
        <v>50423</v>
      </c>
      <c r="X14" s="206">
        <v>51587</v>
      </c>
      <c r="Y14" s="206">
        <v>51370</v>
      </c>
      <c r="Z14" s="206">
        <v>56819</v>
      </c>
      <c r="AA14" s="206">
        <v>47758</v>
      </c>
      <c r="AB14" s="206">
        <v>42383</v>
      </c>
      <c r="AC14" s="206">
        <v>42829</v>
      </c>
    </row>
    <row r="15" spans="1:32" s="23" customFormat="1" ht="20.100000000000001" customHeight="1" x14ac:dyDescent="0.2">
      <c r="A15" s="25" t="s">
        <v>22</v>
      </c>
      <c r="B15" s="26"/>
      <c r="C15" s="27"/>
      <c r="D15" s="6">
        <v>2558</v>
      </c>
      <c r="E15" s="6">
        <v>2469</v>
      </c>
      <c r="F15" s="6">
        <v>1642</v>
      </c>
      <c r="G15" s="6">
        <v>1918</v>
      </c>
      <c r="H15" s="6">
        <v>2567</v>
      </c>
      <c r="I15" s="6">
        <v>2748</v>
      </c>
      <c r="J15" s="156">
        <v>3108</v>
      </c>
      <c r="K15" s="156">
        <v>3198</v>
      </c>
      <c r="L15" s="156">
        <v>3330</v>
      </c>
      <c r="M15" s="156">
        <v>2414</v>
      </c>
      <c r="N15" s="157">
        <v>2757</v>
      </c>
      <c r="O15" s="159">
        <v>3131</v>
      </c>
      <c r="P15" s="159">
        <v>3403</v>
      </c>
      <c r="Q15" s="156">
        <v>3782</v>
      </c>
      <c r="R15" s="156">
        <v>3982</v>
      </c>
      <c r="S15" s="157">
        <v>4198</v>
      </c>
      <c r="T15" s="206">
        <v>4253</v>
      </c>
      <c r="U15" s="206">
        <v>4414</v>
      </c>
      <c r="V15" s="206">
        <v>4121</v>
      </c>
      <c r="W15" s="206">
        <v>3881</v>
      </c>
      <c r="X15" s="206">
        <v>3679</v>
      </c>
      <c r="Y15" s="206">
        <v>3755</v>
      </c>
      <c r="Z15" s="206">
        <v>4029</v>
      </c>
      <c r="AA15" s="206">
        <v>4105</v>
      </c>
      <c r="AB15" s="206">
        <v>3926</v>
      </c>
      <c r="AC15" s="206">
        <v>3919</v>
      </c>
    </row>
    <row r="16" spans="1:32" s="23" customFormat="1" ht="20.100000000000001" customHeight="1" x14ac:dyDescent="0.2">
      <c r="A16" s="25" t="s">
        <v>76</v>
      </c>
      <c r="B16" s="26"/>
      <c r="C16" s="27"/>
      <c r="D16" s="6"/>
      <c r="E16" s="6"/>
      <c r="F16" s="6"/>
      <c r="G16" s="6"/>
      <c r="H16" s="6"/>
      <c r="I16" s="6"/>
      <c r="J16" s="156"/>
      <c r="K16" s="156"/>
      <c r="L16" s="156"/>
      <c r="M16" s="156"/>
      <c r="N16" s="157"/>
      <c r="O16" s="159"/>
      <c r="P16" s="159"/>
      <c r="Q16" s="156"/>
      <c r="R16" s="156"/>
      <c r="S16" s="157"/>
      <c r="T16" s="206"/>
      <c r="U16" s="206"/>
      <c r="V16" s="206"/>
      <c r="W16" s="206"/>
      <c r="X16" s="206"/>
      <c r="Y16" s="206"/>
      <c r="Z16" s="206"/>
      <c r="AA16" s="206">
        <v>3442</v>
      </c>
      <c r="AB16" s="206">
        <v>5339</v>
      </c>
      <c r="AC16" s="206">
        <v>4949</v>
      </c>
    </row>
    <row r="17" spans="1:32" s="39" customFormat="1" ht="20.100000000000001" customHeight="1" x14ac:dyDescent="0.2">
      <c r="A17" s="76" t="s">
        <v>24</v>
      </c>
      <c r="B17" s="77"/>
      <c r="C17" s="78"/>
      <c r="D17" s="79">
        <v>159314</v>
      </c>
      <c r="E17" s="79">
        <v>159625</v>
      </c>
      <c r="F17" s="79">
        <f t="shared" ref="F17:K17" si="0">SUM(F6:F15)</f>
        <v>166336</v>
      </c>
      <c r="G17" s="79">
        <f t="shared" si="0"/>
        <v>163435</v>
      </c>
      <c r="H17" s="79">
        <f t="shared" si="0"/>
        <v>158503</v>
      </c>
      <c r="I17" s="79">
        <f t="shared" si="0"/>
        <v>153996</v>
      </c>
      <c r="J17" s="79">
        <f t="shared" si="0"/>
        <v>162758</v>
      </c>
      <c r="K17" s="79">
        <f t="shared" si="0"/>
        <v>171350</v>
      </c>
      <c r="L17" s="267">
        <f>SUM(L6:L15)</f>
        <v>146872</v>
      </c>
      <c r="M17" s="267">
        <v>140291</v>
      </c>
      <c r="N17" s="76">
        <f>SUM(N6:N15)</f>
        <v>135156</v>
      </c>
      <c r="O17" s="268">
        <f>SUM(O6:O15)</f>
        <v>144657</v>
      </c>
      <c r="P17" s="268">
        <f t="shared" ref="P17:Z17" si="1">SUM(P6:P15)</f>
        <v>132341</v>
      </c>
      <c r="Q17" s="268">
        <f t="shared" si="1"/>
        <v>116821</v>
      </c>
      <c r="R17" s="268">
        <f t="shared" si="1"/>
        <v>122601</v>
      </c>
      <c r="S17" s="268">
        <f t="shared" si="1"/>
        <v>128745</v>
      </c>
      <c r="T17" s="268">
        <f t="shared" si="1"/>
        <v>135608</v>
      </c>
      <c r="U17" s="268">
        <f t="shared" si="1"/>
        <v>123110</v>
      </c>
      <c r="V17" s="268">
        <f t="shared" si="1"/>
        <v>116069</v>
      </c>
      <c r="W17" s="268">
        <f t="shared" si="1"/>
        <v>106682</v>
      </c>
      <c r="X17" s="268">
        <f t="shared" si="1"/>
        <v>111113</v>
      </c>
      <c r="Y17" s="268">
        <f t="shared" si="1"/>
        <v>115697</v>
      </c>
      <c r="Z17" s="268">
        <f t="shared" si="1"/>
        <v>126268</v>
      </c>
      <c r="AA17" s="268">
        <f>SUM(AA6:AA16)</f>
        <v>121058</v>
      </c>
      <c r="AB17" s="268">
        <f>SUM(AB6:AB16)</f>
        <v>115090</v>
      </c>
      <c r="AC17" s="268">
        <f>SUM(AC6:AC16)</f>
        <v>115876</v>
      </c>
      <c r="AD17" s="31"/>
      <c r="AE17" s="23"/>
      <c r="AF17" s="23"/>
    </row>
    <row r="18" spans="1:32" s="24" customFormat="1" ht="20.100000000000001" customHeight="1" x14ac:dyDescent="0.2">
      <c r="A18" s="120" t="s">
        <v>77</v>
      </c>
      <c r="B18" s="255"/>
      <c r="C18" s="254"/>
      <c r="D18" s="119">
        <v>303</v>
      </c>
      <c r="E18" s="119">
        <v>260</v>
      </c>
      <c r="F18" s="119">
        <v>144</v>
      </c>
      <c r="G18" s="119">
        <v>121</v>
      </c>
      <c r="H18" s="119">
        <v>109</v>
      </c>
      <c r="I18" s="119">
        <v>121</v>
      </c>
      <c r="J18" s="119">
        <v>134</v>
      </c>
      <c r="K18" s="58">
        <v>177</v>
      </c>
      <c r="L18" s="6">
        <v>248</v>
      </c>
      <c r="M18" s="119">
        <v>353</v>
      </c>
      <c r="N18" s="120">
        <v>576</v>
      </c>
      <c r="O18" s="269">
        <v>570</v>
      </c>
      <c r="P18" s="269">
        <v>339</v>
      </c>
      <c r="Q18" s="119">
        <v>382</v>
      </c>
      <c r="R18" s="119">
        <v>214</v>
      </c>
      <c r="S18" s="119">
        <v>130</v>
      </c>
      <c r="T18" s="119">
        <v>170</v>
      </c>
      <c r="U18" s="119">
        <v>138</v>
      </c>
      <c r="V18" s="119">
        <v>148</v>
      </c>
      <c r="W18" s="119">
        <v>179</v>
      </c>
      <c r="X18" s="119">
        <v>222</v>
      </c>
      <c r="Y18" s="119">
        <v>211</v>
      </c>
      <c r="Z18" s="119">
        <v>208</v>
      </c>
      <c r="AA18" s="119">
        <v>202</v>
      </c>
      <c r="AB18" s="119">
        <v>223</v>
      </c>
      <c r="AC18" s="119"/>
      <c r="AD18" s="150"/>
      <c r="AE18" s="23"/>
      <c r="AF18" s="23"/>
    </row>
    <row r="19" spans="1:32" s="23" customFormat="1" ht="20.100000000000001" customHeight="1" x14ac:dyDescent="0.2">
      <c r="A19" s="25" t="s">
        <v>26</v>
      </c>
      <c r="B19" s="26"/>
      <c r="C19" s="27"/>
      <c r="D19" s="6">
        <v>2158</v>
      </c>
      <c r="E19" s="6">
        <v>2117</v>
      </c>
      <c r="F19" s="6">
        <v>2145</v>
      </c>
      <c r="G19" s="6">
        <v>2752</v>
      </c>
      <c r="H19" s="6">
        <v>2937</v>
      </c>
      <c r="I19" s="6">
        <v>2888</v>
      </c>
      <c r="J19" s="6">
        <v>2909</v>
      </c>
      <c r="K19" s="58">
        <v>2914</v>
      </c>
      <c r="L19" s="6">
        <v>2567</v>
      </c>
      <c r="M19" s="6">
        <v>2380</v>
      </c>
      <c r="N19" s="120">
        <v>1918</v>
      </c>
      <c r="O19" s="269">
        <v>1478</v>
      </c>
      <c r="P19" s="269">
        <v>1169</v>
      </c>
      <c r="Q19" s="6">
        <v>1034</v>
      </c>
      <c r="R19" s="6">
        <v>938</v>
      </c>
      <c r="S19" s="6">
        <v>954</v>
      </c>
      <c r="T19" s="6">
        <v>1099</v>
      </c>
      <c r="U19" s="6">
        <v>1004</v>
      </c>
      <c r="V19" s="6">
        <v>894</v>
      </c>
      <c r="W19" s="6">
        <v>900</v>
      </c>
      <c r="X19" s="6">
        <v>980</v>
      </c>
      <c r="Y19" s="6">
        <v>654</v>
      </c>
      <c r="Z19" s="6">
        <v>699</v>
      </c>
      <c r="AA19" s="6">
        <v>552</v>
      </c>
      <c r="AB19" s="6">
        <v>861</v>
      </c>
      <c r="AC19" s="6">
        <v>920</v>
      </c>
      <c r="AE19" s="31"/>
      <c r="AF19" s="31"/>
    </row>
    <row r="20" spans="1:32" s="23" customFormat="1" ht="20.100000000000001" customHeight="1" x14ac:dyDescent="0.2">
      <c r="A20" s="25" t="s">
        <v>27</v>
      </c>
      <c r="B20" s="26"/>
      <c r="C20" s="27"/>
      <c r="D20" s="6">
        <v>593</v>
      </c>
      <c r="E20" s="6">
        <v>575</v>
      </c>
      <c r="F20" s="6">
        <v>467</v>
      </c>
      <c r="G20" s="6">
        <v>408</v>
      </c>
      <c r="H20" s="6">
        <v>312</v>
      </c>
      <c r="I20" s="6">
        <v>314</v>
      </c>
      <c r="J20" s="6">
        <v>441</v>
      </c>
      <c r="K20" s="58">
        <v>450</v>
      </c>
      <c r="L20" s="6">
        <v>495</v>
      </c>
      <c r="M20" s="6">
        <v>302</v>
      </c>
      <c r="N20" s="120">
        <v>325</v>
      </c>
      <c r="O20" s="269">
        <v>215</v>
      </c>
      <c r="P20" s="269">
        <v>134</v>
      </c>
      <c r="Q20" s="6">
        <v>187</v>
      </c>
      <c r="R20" s="6">
        <v>216</v>
      </c>
      <c r="S20" s="6">
        <v>181</v>
      </c>
      <c r="T20" s="6">
        <v>149</v>
      </c>
      <c r="U20" s="6">
        <v>154</v>
      </c>
      <c r="V20" s="6">
        <v>122</v>
      </c>
      <c r="W20" s="6">
        <v>57</v>
      </c>
      <c r="X20" s="6">
        <v>77</v>
      </c>
      <c r="Y20" s="6">
        <v>80</v>
      </c>
      <c r="Z20" s="6">
        <v>75</v>
      </c>
      <c r="AA20" s="6">
        <v>81</v>
      </c>
      <c r="AB20" s="6">
        <v>39</v>
      </c>
      <c r="AC20" s="6">
        <v>56</v>
      </c>
      <c r="AE20" s="150"/>
      <c r="AF20" s="150"/>
    </row>
    <row r="21" spans="1:32" s="23" customFormat="1" ht="20.100000000000001" customHeight="1" x14ac:dyDescent="0.2">
      <c r="A21" s="25" t="s">
        <v>28</v>
      </c>
      <c r="B21" s="26"/>
      <c r="C21" s="27"/>
      <c r="D21" s="6">
        <v>1990</v>
      </c>
      <c r="E21" s="6">
        <v>2553</v>
      </c>
      <c r="F21" s="6">
        <v>2768</v>
      </c>
      <c r="G21" s="6">
        <v>3219</v>
      </c>
      <c r="H21" s="6">
        <v>3796</v>
      </c>
      <c r="I21" s="6">
        <v>3457</v>
      </c>
      <c r="J21" s="6">
        <v>2886</v>
      </c>
      <c r="K21" s="58">
        <v>2248</v>
      </c>
      <c r="L21" s="6">
        <v>2638</v>
      </c>
      <c r="M21" s="6">
        <v>2946</v>
      </c>
      <c r="N21" s="120">
        <v>2904</v>
      </c>
      <c r="O21" s="269">
        <v>2375</v>
      </c>
      <c r="P21" s="269">
        <v>1557</v>
      </c>
      <c r="Q21" s="6">
        <v>1609</v>
      </c>
      <c r="R21" s="6">
        <v>1609</v>
      </c>
      <c r="S21" s="6">
        <v>1302</v>
      </c>
      <c r="T21" s="6">
        <v>1478</v>
      </c>
      <c r="U21" s="6">
        <v>1304</v>
      </c>
      <c r="V21" s="6">
        <v>1142</v>
      </c>
      <c r="W21" s="6">
        <v>1575</v>
      </c>
      <c r="X21" s="6">
        <v>1609</v>
      </c>
      <c r="Y21" s="6">
        <v>2170</v>
      </c>
      <c r="Z21" s="6">
        <v>1937</v>
      </c>
      <c r="AA21" s="6">
        <v>1741</v>
      </c>
      <c r="AB21" s="6">
        <v>1806</v>
      </c>
      <c r="AC21" s="6">
        <v>1946</v>
      </c>
    </row>
    <row r="22" spans="1:32" s="23" customFormat="1" ht="20.100000000000001" customHeight="1" x14ac:dyDescent="0.2">
      <c r="A22" s="25" t="s">
        <v>29</v>
      </c>
      <c r="B22" s="26"/>
      <c r="C22" s="27"/>
      <c r="D22" s="6">
        <v>661</v>
      </c>
      <c r="E22" s="6">
        <v>1369</v>
      </c>
      <c r="F22" s="6">
        <v>1523</v>
      </c>
      <c r="G22" s="6">
        <v>1907</v>
      </c>
      <c r="H22" s="6">
        <v>2128</v>
      </c>
      <c r="I22" s="6">
        <v>1860</v>
      </c>
      <c r="J22" s="6">
        <v>537</v>
      </c>
      <c r="K22" s="58">
        <v>974</v>
      </c>
      <c r="L22" s="6">
        <v>1408</v>
      </c>
      <c r="M22" s="6">
        <v>1672</v>
      </c>
      <c r="N22" s="120">
        <v>1366</v>
      </c>
      <c r="O22" s="269">
        <v>1727</v>
      </c>
      <c r="P22" s="269">
        <v>1662</v>
      </c>
      <c r="Q22" s="6">
        <v>1618</v>
      </c>
      <c r="R22" s="6">
        <v>1727</v>
      </c>
      <c r="S22" s="6">
        <v>1448</v>
      </c>
      <c r="T22" s="6">
        <v>1469</v>
      </c>
      <c r="U22" s="6">
        <v>1387</v>
      </c>
      <c r="V22" s="6">
        <v>1346</v>
      </c>
      <c r="W22" s="6">
        <v>1494</v>
      </c>
      <c r="X22" s="6">
        <v>1423</v>
      </c>
      <c r="Y22" s="6">
        <v>1413</v>
      </c>
      <c r="Z22" s="6">
        <v>1309</v>
      </c>
      <c r="AA22" s="6">
        <v>1481</v>
      </c>
      <c r="AB22" s="6">
        <v>1426</v>
      </c>
      <c r="AC22" s="6">
        <v>1340</v>
      </c>
    </row>
    <row r="23" spans="1:32" s="23" customFormat="1" ht="20.100000000000001" customHeight="1" x14ac:dyDescent="0.2">
      <c r="A23" s="120" t="s">
        <v>30</v>
      </c>
      <c r="B23" s="26"/>
      <c r="C23" s="27"/>
      <c r="D23" s="6">
        <v>3389</v>
      </c>
      <c r="E23" s="6">
        <v>2871</v>
      </c>
      <c r="F23" s="6">
        <v>2809</v>
      </c>
      <c r="G23" s="6">
        <v>3105</v>
      </c>
      <c r="H23" s="6">
        <v>2665</v>
      </c>
      <c r="I23" s="6">
        <v>2469</v>
      </c>
      <c r="J23" s="6">
        <v>2383</v>
      </c>
      <c r="K23" s="58">
        <v>2221</v>
      </c>
      <c r="L23" s="6">
        <v>2929</v>
      </c>
      <c r="M23" s="6">
        <v>3707</v>
      </c>
      <c r="N23" s="120">
        <v>4047</v>
      </c>
      <c r="O23" s="269">
        <v>3460</v>
      </c>
      <c r="P23" s="269">
        <v>2487</v>
      </c>
      <c r="Q23" s="6">
        <v>1951</v>
      </c>
      <c r="R23" s="6">
        <v>1387</v>
      </c>
      <c r="S23" s="6">
        <v>1500</v>
      </c>
      <c r="T23" s="6">
        <v>1812</v>
      </c>
      <c r="U23" s="6">
        <v>1495</v>
      </c>
      <c r="V23" s="6">
        <v>2025</v>
      </c>
      <c r="W23" s="6">
        <v>2205</v>
      </c>
      <c r="X23" s="6">
        <v>2115</v>
      </c>
      <c r="Y23" s="6">
        <v>2060</v>
      </c>
      <c r="Z23" s="6">
        <v>1884</v>
      </c>
      <c r="AA23" s="6">
        <v>2051</v>
      </c>
      <c r="AB23" s="6">
        <v>2306</v>
      </c>
      <c r="AC23" s="6">
        <v>2414</v>
      </c>
    </row>
    <row r="24" spans="1:32" s="23" customFormat="1" ht="20.100000000000001" customHeight="1" x14ac:dyDescent="0.2">
      <c r="A24" s="25" t="s">
        <v>60</v>
      </c>
      <c r="B24" s="26"/>
      <c r="C24" s="27"/>
      <c r="D24" s="6">
        <v>242</v>
      </c>
      <c r="E24" s="6">
        <v>382</v>
      </c>
      <c r="F24" s="6">
        <v>370</v>
      </c>
      <c r="G24" s="6">
        <v>351</v>
      </c>
      <c r="H24" s="6">
        <v>174</v>
      </c>
      <c r="I24" s="6">
        <v>54</v>
      </c>
      <c r="J24" s="6">
        <v>130</v>
      </c>
      <c r="K24" s="58">
        <v>146</v>
      </c>
      <c r="L24" s="6">
        <v>434</v>
      </c>
      <c r="M24" s="6">
        <v>447</v>
      </c>
      <c r="N24" s="120">
        <v>595</v>
      </c>
      <c r="O24" s="269">
        <v>611</v>
      </c>
      <c r="P24" s="269">
        <v>578</v>
      </c>
      <c r="Q24" s="6">
        <v>310</v>
      </c>
      <c r="R24" s="6">
        <v>420</v>
      </c>
      <c r="S24" s="6">
        <v>455</v>
      </c>
      <c r="T24" s="6">
        <v>454</v>
      </c>
      <c r="U24" s="6">
        <v>416</v>
      </c>
      <c r="V24" s="6">
        <v>475</v>
      </c>
      <c r="W24" s="6">
        <v>372</v>
      </c>
      <c r="X24" s="6">
        <v>537</v>
      </c>
      <c r="Y24" s="6">
        <v>482</v>
      </c>
      <c r="Z24" s="6">
        <v>481</v>
      </c>
      <c r="AA24" s="6">
        <v>741</v>
      </c>
      <c r="AB24" s="6">
        <v>696</v>
      </c>
      <c r="AC24" s="6">
        <v>557</v>
      </c>
    </row>
    <row r="25" spans="1:32" s="23" customFormat="1" ht="20.100000000000001" customHeight="1" x14ac:dyDescent="0.2">
      <c r="A25" s="25" t="s">
        <v>33</v>
      </c>
      <c r="B25" s="26"/>
      <c r="C25" s="27"/>
      <c r="D25" s="6">
        <v>10681</v>
      </c>
      <c r="E25" s="6">
        <v>11104</v>
      </c>
      <c r="F25" s="6">
        <v>10570</v>
      </c>
      <c r="G25" s="6">
        <v>9936</v>
      </c>
      <c r="H25" s="6">
        <v>8283</v>
      </c>
      <c r="I25" s="6">
        <v>6467</v>
      </c>
      <c r="J25" s="6">
        <v>8112</v>
      </c>
      <c r="K25" s="58">
        <v>10142</v>
      </c>
      <c r="L25" s="6">
        <v>9712</v>
      </c>
      <c r="M25" s="6">
        <v>9841</v>
      </c>
      <c r="N25" s="120">
        <v>9464</v>
      </c>
      <c r="O25" s="269">
        <v>6927</v>
      </c>
      <c r="P25" s="269">
        <v>7098</v>
      </c>
      <c r="Q25" s="6">
        <v>6950</v>
      </c>
      <c r="R25" s="6">
        <v>6167</v>
      </c>
      <c r="S25" s="6">
        <v>7134</v>
      </c>
      <c r="T25" s="6">
        <v>6761</v>
      </c>
      <c r="U25" s="6">
        <v>6154</v>
      </c>
      <c r="V25" s="6">
        <v>5308</v>
      </c>
      <c r="W25" s="6">
        <v>4720</v>
      </c>
      <c r="X25" s="6">
        <v>4684</v>
      </c>
      <c r="Y25" s="6">
        <v>4881</v>
      </c>
      <c r="Z25" s="6">
        <v>5823</v>
      </c>
      <c r="AA25" s="6">
        <v>6582</v>
      </c>
      <c r="AB25" s="6">
        <v>6821</v>
      </c>
      <c r="AC25" s="6">
        <v>5904</v>
      </c>
    </row>
    <row r="26" spans="1:32" s="23" customFormat="1" ht="20.100000000000001" customHeight="1" x14ac:dyDescent="0.2">
      <c r="A26" s="25" t="s">
        <v>78</v>
      </c>
      <c r="B26" s="26"/>
      <c r="C26" s="27"/>
      <c r="D26" s="6">
        <v>6425</v>
      </c>
      <c r="E26" s="6">
        <v>5609</v>
      </c>
      <c r="F26" s="6">
        <v>3831</v>
      </c>
      <c r="G26" s="6">
        <v>2813</v>
      </c>
      <c r="H26" s="6">
        <v>3434</v>
      </c>
      <c r="I26" s="6">
        <v>4963</v>
      </c>
      <c r="J26" s="6">
        <v>6952</v>
      </c>
      <c r="K26" s="58">
        <v>7445</v>
      </c>
      <c r="L26" s="6">
        <v>7267</v>
      </c>
      <c r="M26" s="6">
        <v>5432</v>
      </c>
      <c r="N26" s="120">
        <v>3843</v>
      </c>
      <c r="O26" s="269">
        <v>4413</v>
      </c>
      <c r="P26" s="269">
        <v>4612</v>
      </c>
      <c r="Q26" s="6">
        <v>4658</v>
      </c>
      <c r="R26" s="6">
        <v>5070</v>
      </c>
      <c r="S26" s="6">
        <v>5512</v>
      </c>
      <c r="T26" s="6">
        <v>4309</v>
      </c>
      <c r="U26" s="6">
        <v>3828</v>
      </c>
      <c r="V26" s="6">
        <v>3731</v>
      </c>
      <c r="W26" s="6">
        <v>4235</v>
      </c>
      <c r="X26" s="6">
        <v>4171</v>
      </c>
      <c r="Y26" s="6">
        <v>4401</v>
      </c>
      <c r="Z26" s="6">
        <v>4925</v>
      </c>
      <c r="AA26" s="6">
        <v>5350</v>
      </c>
      <c r="AB26" s="6">
        <v>5222</v>
      </c>
      <c r="AC26" s="6">
        <v>4036</v>
      </c>
    </row>
    <row r="27" spans="1:32" s="23" customFormat="1" ht="20.100000000000001" customHeight="1" x14ac:dyDescent="0.2">
      <c r="A27" s="25" t="s">
        <v>79</v>
      </c>
      <c r="B27" s="26"/>
      <c r="C27" s="27"/>
      <c r="D27" s="6">
        <v>8880</v>
      </c>
      <c r="E27" s="6">
        <v>10727</v>
      </c>
      <c r="F27" s="6">
        <v>10153</v>
      </c>
      <c r="G27" s="6">
        <v>5704</v>
      </c>
      <c r="H27" s="6">
        <v>4932</v>
      </c>
      <c r="I27" s="6">
        <v>3820</v>
      </c>
      <c r="J27" s="6">
        <v>4365</v>
      </c>
      <c r="K27" s="58">
        <v>7460</v>
      </c>
      <c r="L27" s="6">
        <v>8828</v>
      </c>
      <c r="M27" s="6">
        <v>8167</v>
      </c>
      <c r="N27" s="120">
        <v>7974</v>
      </c>
      <c r="O27" s="269">
        <v>6830</v>
      </c>
      <c r="P27" s="269">
        <v>8895</v>
      </c>
      <c r="Q27" s="6">
        <v>7023</v>
      </c>
      <c r="R27" s="6">
        <v>7665</v>
      </c>
      <c r="S27" s="6">
        <v>8615</v>
      </c>
      <c r="T27" s="6">
        <v>8099</v>
      </c>
      <c r="U27" s="6">
        <v>8431</v>
      </c>
      <c r="V27" s="6">
        <v>7792</v>
      </c>
      <c r="W27" s="6">
        <v>8160</v>
      </c>
      <c r="X27" s="6">
        <v>7686</v>
      </c>
      <c r="Y27" s="6">
        <v>7925</v>
      </c>
      <c r="Z27" s="6">
        <v>9744</v>
      </c>
      <c r="AA27" s="6">
        <v>10991</v>
      </c>
      <c r="AB27" s="6">
        <v>11460</v>
      </c>
      <c r="AC27" s="6">
        <v>8608</v>
      </c>
    </row>
    <row r="28" spans="1:32" s="23" customFormat="1" ht="20.100000000000001" customHeight="1" x14ac:dyDescent="0.2">
      <c r="A28" s="25" t="s">
        <v>35</v>
      </c>
      <c r="B28" s="26"/>
      <c r="C28" s="27"/>
      <c r="D28" s="6">
        <v>506</v>
      </c>
      <c r="E28" s="6">
        <v>369</v>
      </c>
      <c r="F28" s="6">
        <v>574</v>
      </c>
      <c r="G28" s="6">
        <v>767</v>
      </c>
      <c r="H28" s="6">
        <v>835</v>
      </c>
      <c r="I28" s="6">
        <v>712</v>
      </c>
      <c r="J28" s="6">
        <v>660</v>
      </c>
      <c r="K28" s="58">
        <v>533</v>
      </c>
      <c r="L28" s="6">
        <v>506</v>
      </c>
      <c r="M28" s="6">
        <v>554</v>
      </c>
      <c r="N28" s="120">
        <v>799</v>
      </c>
      <c r="O28" s="269">
        <v>1024</v>
      </c>
      <c r="P28" s="269">
        <v>1179</v>
      </c>
      <c r="Q28" s="6">
        <v>1312</v>
      </c>
      <c r="R28" s="6">
        <v>949</v>
      </c>
      <c r="S28" s="6">
        <v>949</v>
      </c>
      <c r="T28" s="6">
        <v>645</v>
      </c>
      <c r="U28" s="6">
        <v>627</v>
      </c>
      <c r="V28" s="6">
        <v>126</v>
      </c>
      <c r="W28" s="6">
        <v>401</v>
      </c>
      <c r="X28" s="6">
        <v>410</v>
      </c>
      <c r="Y28" s="6">
        <v>165</v>
      </c>
      <c r="Z28" s="6">
        <v>286</v>
      </c>
      <c r="AA28" s="6">
        <v>335</v>
      </c>
      <c r="AB28" s="6">
        <v>319</v>
      </c>
      <c r="AC28" s="6">
        <v>996</v>
      </c>
    </row>
    <row r="29" spans="1:32" s="39" customFormat="1" ht="20.100000000000001" customHeight="1" x14ac:dyDescent="0.2">
      <c r="A29" s="76" t="s">
        <v>36</v>
      </c>
      <c r="B29" s="77"/>
      <c r="C29" s="78"/>
      <c r="D29" s="79">
        <v>35828</v>
      </c>
      <c r="E29" s="79">
        <v>37936</v>
      </c>
      <c r="F29" s="79">
        <v>35354</v>
      </c>
      <c r="G29" s="79">
        <v>31083</v>
      </c>
      <c r="H29" s="79">
        <f>SUM(H18:H28)</f>
        <v>29605</v>
      </c>
      <c r="I29" s="79">
        <f>SUM(I18:I28)</f>
        <v>27125</v>
      </c>
      <c r="J29" s="79">
        <f>SUM(J18:J28)</f>
        <v>29509</v>
      </c>
      <c r="K29" s="79">
        <f>SUM(K18:K28)</f>
        <v>34710</v>
      </c>
      <c r="L29" s="79">
        <f>SUM(L18:L28)</f>
        <v>37032</v>
      </c>
      <c r="M29" s="79">
        <v>35801</v>
      </c>
      <c r="N29" s="76">
        <f>SUM(N18:N28)</f>
        <v>33811</v>
      </c>
      <c r="O29" s="76">
        <f>SUM(O18:O28)</f>
        <v>29630</v>
      </c>
      <c r="P29" s="270">
        <f t="shared" ref="P29:Z29" si="2">SUM(P18:P28)</f>
        <v>29710</v>
      </c>
      <c r="Q29" s="270">
        <f t="shared" si="2"/>
        <v>27034</v>
      </c>
      <c r="R29" s="270">
        <f t="shared" si="2"/>
        <v>26362</v>
      </c>
      <c r="S29" s="270">
        <f t="shared" si="2"/>
        <v>28180</v>
      </c>
      <c r="T29" s="270">
        <f t="shared" si="2"/>
        <v>26445</v>
      </c>
      <c r="U29" s="270">
        <f t="shared" si="2"/>
        <v>24938</v>
      </c>
      <c r="V29" s="270">
        <f t="shared" si="2"/>
        <v>23109</v>
      </c>
      <c r="W29" s="270">
        <f t="shared" si="2"/>
        <v>24298</v>
      </c>
      <c r="X29" s="79">
        <f t="shared" si="2"/>
        <v>23914</v>
      </c>
      <c r="Y29" s="270">
        <f t="shared" si="2"/>
        <v>24442</v>
      </c>
      <c r="Z29" s="270">
        <f t="shared" si="2"/>
        <v>27371</v>
      </c>
      <c r="AA29" s="270">
        <f>SUM(AA18:AA28)</f>
        <v>30107</v>
      </c>
      <c r="AB29" s="270">
        <f t="shared" ref="AB29:AC29" si="3">SUM(AB18:AB28)</f>
        <v>31179</v>
      </c>
      <c r="AC29" s="270">
        <f t="shared" si="3"/>
        <v>26777</v>
      </c>
      <c r="AD29" s="31"/>
      <c r="AE29" s="31"/>
      <c r="AF29" s="31"/>
    </row>
    <row r="30" spans="1:32" s="24" customFormat="1" ht="20.100000000000001" customHeight="1" x14ac:dyDescent="0.2">
      <c r="A30" s="120" t="s">
        <v>80</v>
      </c>
      <c r="B30" s="255"/>
      <c r="C30" s="254"/>
      <c r="D30" s="119">
        <v>1193</v>
      </c>
      <c r="E30" s="119">
        <v>1277</v>
      </c>
      <c r="F30" s="119">
        <v>1264</v>
      </c>
      <c r="G30" s="119">
        <v>1394</v>
      </c>
      <c r="H30" s="119">
        <v>1258</v>
      </c>
      <c r="I30" s="119">
        <v>1047</v>
      </c>
      <c r="J30" s="119">
        <v>997</v>
      </c>
      <c r="K30" s="58">
        <v>956</v>
      </c>
      <c r="L30" s="6">
        <v>1518</v>
      </c>
      <c r="M30" s="119">
        <v>2236</v>
      </c>
      <c r="N30" s="120">
        <v>2338</v>
      </c>
      <c r="O30" s="269">
        <v>1868</v>
      </c>
      <c r="P30" s="269">
        <v>1823</v>
      </c>
      <c r="Q30" s="119">
        <v>2902</v>
      </c>
      <c r="R30" s="119">
        <v>2688</v>
      </c>
      <c r="S30" s="119">
        <v>2450</v>
      </c>
      <c r="T30" s="119">
        <v>2229</v>
      </c>
      <c r="U30" s="119">
        <v>2322</v>
      </c>
      <c r="V30" s="119">
        <v>2507</v>
      </c>
      <c r="W30" s="119">
        <v>2888</v>
      </c>
      <c r="X30" s="119">
        <v>3209</v>
      </c>
      <c r="Y30" s="119">
        <v>3122</v>
      </c>
      <c r="Z30" s="119">
        <v>2668</v>
      </c>
      <c r="AA30" s="119">
        <v>2759</v>
      </c>
      <c r="AB30" s="119">
        <v>3044</v>
      </c>
      <c r="AC30" s="119">
        <v>2331</v>
      </c>
      <c r="AD30" s="150"/>
      <c r="AE30" s="150"/>
      <c r="AF30" s="150"/>
    </row>
    <row r="31" spans="1:32" s="23" customFormat="1" ht="20.100000000000001" customHeight="1" x14ac:dyDescent="0.2">
      <c r="A31" s="25" t="s">
        <v>81</v>
      </c>
      <c r="B31" s="26"/>
      <c r="C31" s="27"/>
      <c r="D31" s="6">
        <v>378</v>
      </c>
      <c r="E31" s="6">
        <v>488</v>
      </c>
      <c r="F31" s="6">
        <v>361</v>
      </c>
      <c r="G31" s="6">
        <v>297</v>
      </c>
      <c r="H31" s="6">
        <v>300</v>
      </c>
      <c r="I31" s="6">
        <v>211</v>
      </c>
      <c r="J31" s="6">
        <v>193</v>
      </c>
      <c r="K31" s="58">
        <v>167</v>
      </c>
      <c r="L31" s="6">
        <v>168</v>
      </c>
      <c r="M31" s="6">
        <v>161</v>
      </c>
      <c r="N31" s="120">
        <v>180</v>
      </c>
      <c r="O31" s="269">
        <v>59</v>
      </c>
      <c r="P31" s="269"/>
      <c r="Q31" s="6">
        <v>14</v>
      </c>
      <c r="R31" s="6">
        <v>45</v>
      </c>
      <c r="S31" s="6">
        <v>36</v>
      </c>
      <c r="T31" s="6">
        <v>23</v>
      </c>
      <c r="U31" s="6">
        <v>36</v>
      </c>
      <c r="V31" s="6">
        <v>15</v>
      </c>
      <c r="W31" s="6">
        <v>25</v>
      </c>
      <c r="X31" s="6">
        <v>24</v>
      </c>
      <c r="Y31" s="6">
        <v>13</v>
      </c>
      <c r="Z31" s="6"/>
      <c r="AA31" s="6">
        <v>1</v>
      </c>
      <c r="AB31" s="6">
        <v>1</v>
      </c>
      <c r="AC31" s="6">
        <v>0</v>
      </c>
    </row>
    <row r="32" spans="1:32" s="23" customFormat="1" ht="20.100000000000001" customHeight="1" x14ac:dyDescent="0.2">
      <c r="A32" s="32" t="s">
        <v>82</v>
      </c>
      <c r="B32" s="33"/>
      <c r="C32" s="34"/>
      <c r="D32" s="6">
        <v>97</v>
      </c>
      <c r="E32" s="6">
        <v>175</v>
      </c>
      <c r="F32" s="6">
        <v>126</v>
      </c>
      <c r="G32" s="6">
        <v>199</v>
      </c>
      <c r="H32" s="6">
        <v>171</v>
      </c>
      <c r="I32" s="6">
        <v>134</v>
      </c>
      <c r="J32" s="6">
        <v>182</v>
      </c>
      <c r="K32" s="58">
        <v>228</v>
      </c>
      <c r="L32" s="6">
        <v>337</v>
      </c>
      <c r="M32" s="6">
        <v>493</v>
      </c>
      <c r="N32" s="120">
        <v>350</v>
      </c>
      <c r="O32" s="269">
        <v>299</v>
      </c>
      <c r="P32" s="269">
        <v>287</v>
      </c>
      <c r="Q32" s="6">
        <v>281</v>
      </c>
      <c r="R32" s="6">
        <v>328</v>
      </c>
      <c r="S32" s="6">
        <v>287</v>
      </c>
      <c r="T32" s="6">
        <v>251</v>
      </c>
      <c r="U32" s="6">
        <v>163</v>
      </c>
      <c r="V32" s="6">
        <v>217</v>
      </c>
      <c r="W32" s="6">
        <v>251</v>
      </c>
      <c r="X32" s="6">
        <v>339</v>
      </c>
      <c r="Y32" s="6">
        <v>258</v>
      </c>
      <c r="Z32" s="6">
        <v>277</v>
      </c>
      <c r="AA32" s="6">
        <v>649</v>
      </c>
      <c r="AB32" s="6">
        <v>725</v>
      </c>
      <c r="AC32" s="6">
        <v>609</v>
      </c>
    </row>
    <row r="33" spans="1:32" s="23" customFormat="1" ht="20.100000000000001" customHeight="1" x14ac:dyDescent="0.2">
      <c r="A33" s="25" t="s">
        <v>83</v>
      </c>
      <c r="B33" s="26"/>
      <c r="C33" s="27"/>
      <c r="D33" s="6">
        <v>1024</v>
      </c>
      <c r="E33" s="6">
        <v>1437</v>
      </c>
      <c r="F33" s="6">
        <v>1699</v>
      </c>
      <c r="G33" s="6">
        <v>989</v>
      </c>
      <c r="H33" s="6">
        <v>1420</v>
      </c>
      <c r="I33" s="6">
        <v>1343</v>
      </c>
      <c r="J33" s="6">
        <v>1411</v>
      </c>
      <c r="K33" s="58">
        <v>1428</v>
      </c>
      <c r="L33" s="6">
        <v>923</v>
      </c>
      <c r="M33" s="6">
        <v>923</v>
      </c>
      <c r="N33" s="120">
        <v>825</v>
      </c>
      <c r="O33" s="269">
        <v>958</v>
      </c>
      <c r="P33" s="269">
        <v>1016</v>
      </c>
      <c r="Q33" s="6">
        <v>1363</v>
      </c>
      <c r="R33" s="6">
        <v>1354</v>
      </c>
      <c r="S33" s="6">
        <v>1549</v>
      </c>
      <c r="T33" s="6">
        <v>1565</v>
      </c>
      <c r="U33" s="6">
        <v>1806</v>
      </c>
      <c r="V33" s="6">
        <v>2660</v>
      </c>
      <c r="W33" s="6">
        <v>2835</v>
      </c>
      <c r="X33" s="6">
        <v>2616</v>
      </c>
      <c r="Y33" s="6">
        <v>3210</v>
      </c>
      <c r="Z33" s="6">
        <v>4274</v>
      </c>
      <c r="AA33" s="6">
        <v>5363</v>
      </c>
      <c r="AB33" s="6">
        <v>4872</v>
      </c>
      <c r="AC33" s="6">
        <v>4146</v>
      </c>
    </row>
    <row r="34" spans="1:32" s="23" customFormat="1" ht="20.100000000000001" customHeight="1" x14ac:dyDescent="0.2">
      <c r="A34" s="32" t="s">
        <v>84</v>
      </c>
      <c r="B34" s="26"/>
      <c r="C34" s="27"/>
      <c r="D34" s="6">
        <v>7902</v>
      </c>
      <c r="E34" s="6">
        <v>13855</v>
      </c>
      <c r="F34" s="6">
        <v>10521</v>
      </c>
      <c r="G34" s="6">
        <v>7563</v>
      </c>
      <c r="H34" s="6">
        <v>11280</v>
      </c>
      <c r="I34" s="6">
        <v>8871</v>
      </c>
      <c r="J34" s="6">
        <v>9459</v>
      </c>
      <c r="K34" s="58">
        <v>8528</v>
      </c>
      <c r="L34" s="6">
        <v>4736</v>
      </c>
      <c r="M34" s="6">
        <v>4361</v>
      </c>
      <c r="N34" s="120">
        <v>2881</v>
      </c>
      <c r="O34" s="269">
        <v>2404</v>
      </c>
      <c r="P34" s="269">
        <v>3545</v>
      </c>
      <c r="Q34" s="6">
        <v>4684</v>
      </c>
      <c r="R34" s="6">
        <v>4580</v>
      </c>
      <c r="S34" s="6">
        <v>3434</v>
      </c>
      <c r="T34" s="6">
        <v>3388</v>
      </c>
      <c r="U34" s="6">
        <v>3919</v>
      </c>
      <c r="V34" s="6">
        <v>6161</v>
      </c>
      <c r="W34" s="6">
        <v>6477</v>
      </c>
      <c r="X34" s="6">
        <v>5721</v>
      </c>
      <c r="Y34" s="6">
        <v>4386</v>
      </c>
      <c r="Z34" s="6">
        <v>5775</v>
      </c>
      <c r="AA34" s="6">
        <v>6634</v>
      </c>
      <c r="AB34" s="6">
        <v>7039</v>
      </c>
      <c r="AC34" s="6">
        <v>7934</v>
      </c>
    </row>
    <row r="35" spans="1:32" s="23" customFormat="1" ht="20.100000000000001" customHeight="1" x14ac:dyDescent="0.2">
      <c r="A35" s="25" t="s">
        <v>85</v>
      </c>
      <c r="B35" s="26"/>
      <c r="C35" s="27"/>
      <c r="D35" s="6">
        <v>2226</v>
      </c>
      <c r="E35" s="6">
        <v>2340</v>
      </c>
      <c r="F35" s="6">
        <v>2627</v>
      </c>
      <c r="G35" s="6">
        <v>1927</v>
      </c>
      <c r="H35" s="6">
        <v>3127</v>
      </c>
      <c r="I35" s="6">
        <v>3940</v>
      </c>
      <c r="J35" s="6">
        <v>4842</v>
      </c>
      <c r="K35" s="58">
        <v>4651</v>
      </c>
      <c r="L35" s="6">
        <v>2648</v>
      </c>
      <c r="M35" s="6">
        <v>2009</v>
      </c>
      <c r="N35" s="120">
        <v>1492</v>
      </c>
      <c r="O35" s="269">
        <v>1727</v>
      </c>
      <c r="P35" s="269">
        <v>1900</v>
      </c>
      <c r="Q35" s="6">
        <v>2154</v>
      </c>
      <c r="R35" s="6">
        <v>1843</v>
      </c>
      <c r="S35" s="6">
        <v>1641</v>
      </c>
      <c r="T35" s="6">
        <v>1346</v>
      </c>
      <c r="U35" s="6">
        <v>1554</v>
      </c>
      <c r="V35" s="6">
        <v>2102</v>
      </c>
      <c r="W35" s="6">
        <v>2192</v>
      </c>
      <c r="X35" s="6">
        <v>1835</v>
      </c>
      <c r="Y35" s="6">
        <v>1757</v>
      </c>
      <c r="Z35" s="6">
        <v>2078</v>
      </c>
      <c r="AA35" s="6">
        <v>2793</v>
      </c>
      <c r="AB35" s="6">
        <v>4351</v>
      </c>
      <c r="AC35" s="6">
        <v>4384</v>
      </c>
    </row>
    <row r="36" spans="1:32" s="23" customFormat="1" ht="20.100000000000001" customHeight="1" x14ac:dyDescent="0.2">
      <c r="A36" s="25" t="s">
        <v>86</v>
      </c>
      <c r="B36" s="26"/>
      <c r="C36" s="27"/>
      <c r="D36" s="6">
        <v>261</v>
      </c>
      <c r="E36" s="6">
        <v>205</v>
      </c>
      <c r="F36" s="6">
        <v>177</v>
      </c>
      <c r="G36" s="6">
        <v>211</v>
      </c>
      <c r="H36" s="6">
        <v>234</v>
      </c>
      <c r="I36" s="6">
        <v>268</v>
      </c>
      <c r="J36" s="6">
        <v>322</v>
      </c>
      <c r="K36" s="58">
        <v>330</v>
      </c>
      <c r="L36" s="6">
        <v>303</v>
      </c>
      <c r="M36" s="6">
        <v>248</v>
      </c>
      <c r="N36" s="120">
        <v>221</v>
      </c>
      <c r="O36" s="269">
        <v>248</v>
      </c>
      <c r="P36" s="269">
        <v>230</v>
      </c>
      <c r="Q36" s="6">
        <v>421</v>
      </c>
      <c r="R36" s="6">
        <v>355</v>
      </c>
      <c r="S36" s="6">
        <v>351</v>
      </c>
      <c r="T36" s="6">
        <v>345</v>
      </c>
      <c r="U36" s="6">
        <v>346</v>
      </c>
      <c r="V36" s="6">
        <v>367</v>
      </c>
      <c r="W36" s="6">
        <v>496</v>
      </c>
      <c r="X36" s="6">
        <v>443</v>
      </c>
      <c r="Y36" s="6">
        <v>303</v>
      </c>
      <c r="Z36" s="6">
        <v>270</v>
      </c>
      <c r="AA36" s="6">
        <v>310</v>
      </c>
      <c r="AB36" s="6">
        <v>347</v>
      </c>
      <c r="AC36" s="6">
        <v>374</v>
      </c>
      <c r="AE36" s="31"/>
      <c r="AF36" s="31"/>
    </row>
    <row r="37" spans="1:32" s="23" customFormat="1" ht="20.100000000000001" customHeight="1" x14ac:dyDescent="0.2">
      <c r="A37" s="25" t="s">
        <v>87</v>
      </c>
      <c r="B37" s="26"/>
      <c r="C37" s="27"/>
      <c r="D37" s="6">
        <v>187</v>
      </c>
      <c r="E37" s="6">
        <v>238</v>
      </c>
      <c r="F37" s="6">
        <v>358</v>
      </c>
      <c r="G37" s="6">
        <v>300</v>
      </c>
      <c r="H37" s="6">
        <v>305</v>
      </c>
      <c r="I37" s="6">
        <v>249</v>
      </c>
      <c r="J37" s="6">
        <v>222</v>
      </c>
      <c r="K37" s="58">
        <v>407</v>
      </c>
      <c r="L37" s="6">
        <v>314</v>
      </c>
      <c r="M37" s="6">
        <v>145</v>
      </c>
      <c r="N37" s="120">
        <v>115</v>
      </c>
      <c r="O37" s="269">
        <v>71</v>
      </c>
      <c r="P37" s="269">
        <v>132</v>
      </c>
      <c r="Q37" s="6">
        <v>320</v>
      </c>
      <c r="R37" s="6">
        <v>235</v>
      </c>
      <c r="S37" s="6">
        <v>260</v>
      </c>
      <c r="T37" s="6">
        <v>187</v>
      </c>
      <c r="U37" s="6">
        <v>187</v>
      </c>
      <c r="V37" s="6">
        <v>289</v>
      </c>
      <c r="W37" s="6">
        <v>299</v>
      </c>
      <c r="X37" s="6">
        <v>138</v>
      </c>
      <c r="Y37" s="6">
        <v>82</v>
      </c>
      <c r="Z37" s="6">
        <v>139</v>
      </c>
      <c r="AA37" s="6">
        <v>160</v>
      </c>
      <c r="AB37" s="6">
        <v>179</v>
      </c>
      <c r="AC37" s="6">
        <v>165</v>
      </c>
      <c r="AE37"/>
      <c r="AF37"/>
    </row>
    <row r="38" spans="1:32" s="23" customFormat="1" ht="20.100000000000001" customHeight="1" x14ac:dyDescent="0.2">
      <c r="A38" s="25" t="s">
        <v>44</v>
      </c>
      <c r="B38" s="26"/>
      <c r="C38" s="27"/>
      <c r="D38" s="6"/>
      <c r="E38" s="6"/>
      <c r="F38" s="6"/>
      <c r="G38" s="6"/>
      <c r="H38" s="6"/>
      <c r="I38" s="6"/>
      <c r="J38" s="6"/>
      <c r="K38" s="58"/>
      <c r="L38" s="6"/>
      <c r="M38" s="6"/>
      <c r="N38" s="120"/>
      <c r="O38" s="271"/>
      <c r="P38" s="269"/>
      <c r="Q38" s="6"/>
      <c r="R38" s="6"/>
      <c r="S38" s="6"/>
      <c r="T38" s="6"/>
      <c r="U38" s="6"/>
      <c r="V38" s="6"/>
      <c r="W38" s="6"/>
      <c r="X38" s="6"/>
      <c r="Y38" s="6"/>
      <c r="Z38" s="6"/>
      <c r="AA38" s="6">
        <v>1692</v>
      </c>
      <c r="AB38" s="6">
        <v>164</v>
      </c>
      <c r="AC38" s="6"/>
      <c r="AE38"/>
      <c r="AF38"/>
    </row>
    <row r="39" spans="1:32" s="39" customFormat="1" ht="20.100000000000001" customHeight="1" x14ac:dyDescent="0.2">
      <c r="A39" s="76" t="s">
        <v>45</v>
      </c>
      <c r="B39" s="77"/>
      <c r="C39" s="78"/>
      <c r="D39" s="79">
        <v>13268</v>
      </c>
      <c r="E39" s="79">
        <v>20015</v>
      </c>
      <c r="F39" s="79">
        <v>17133</v>
      </c>
      <c r="G39" s="79">
        <v>12880</v>
      </c>
      <c r="H39" s="79">
        <f>SUM(H30:H37)</f>
        <v>18095</v>
      </c>
      <c r="I39" s="79">
        <f>SUM(I30:I37)</f>
        <v>16063</v>
      </c>
      <c r="J39" s="79">
        <f>SUM(J30:J37)</f>
        <v>17628</v>
      </c>
      <c r="K39" s="79">
        <f>SUM(K30:K37)</f>
        <v>16695</v>
      </c>
      <c r="L39" s="79">
        <f>SUM(L30:L37)</f>
        <v>10947</v>
      </c>
      <c r="M39" s="79">
        <v>10576</v>
      </c>
      <c r="N39" s="76">
        <f>SUM(N30:N37)</f>
        <v>8402</v>
      </c>
      <c r="O39" s="76">
        <f>SUM(O30:O37)</f>
        <v>7634</v>
      </c>
      <c r="P39" s="270">
        <f t="shared" ref="P39" si="4">SUM(P30:P38)</f>
        <v>8933</v>
      </c>
      <c r="Q39" s="270">
        <f t="shared" ref="Q39:R39" si="5">SUM(Q30:Q38)</f>
        <v>12139</v>
      </c>
      <c r="R39" s="270">
        <f t="shared" si="5"/>
        <v>11428</v>
      </c>
      <c r="S39" s="270">
        <f t="shared" ref="S39" si="6">SUM(S30:S38)</f>
        <v>10008</v>
      </c>
      <c r="T39" s="270">
        <f t="shared" ref="T39:U39" si="7">SUM(T30:T38)</f>
        <v>9334</v>
      </c>
      <c r="U39" s="270">
        <f t="shared" si="7"/>
        <v>10333</v>
      </c>
      <c r="V39" s="270">
        <f t="shared" ref="V39" si="8">SUM(V30:V38)</f>
        <v>14318</v>
      </c>
      <c r="W39" s="270">
        <f t="shared" ref="W39:X39" si="9">SUM(W30:W38)</f>
        <v>15463</v>
      </c>
      <c r="X39" s="270">
        <f t="shared" si="9"/>
        <v>14325</v>
      </c>
      <c r="Y39" s="270">
        <f t="shared" ref="Y39" si="10">SUM(Y30:Y38)</f>
        <v>13131</v>
      </c>
      <c r="Z39" s="270">
        <f t="shared" ref="Z39" si="11">SUM(Z30:Z38)</f>
        <v>15481</v>
      </c>
      <c r="AA39" s="270">
        <f>SUM(AA30:AA38)</f>
        <v>20361</v>
      </c>
      <c r="AB39" s="270">
        <f t="shared" ref="AB39:AC39" si="12">SUM(AB30:AB38)</f>
        <v>20722</v>
      </c>
      <c r="AC39" s="270">
        <f t="shared" si="12"/>
        <v>19943</v>
      </c>
      <c r="AD39" s="31"/>
      <c r="AE39"/>
      <c r="AF39"/>
    </row>
    <row r="40" spans="1:32" s="24" customFormat="1" ht="20.100000000000001" customHeight="1" x14ac:dyDescent="0.2">
      <c r="A40" s="120" t="s">
        <v>88</v>
      </c>
      <c r="B40" s="255"/>
      <c r="C40" s="254"/>
      <c r="D40" s="119">
        <v>3754</v>
      </c>
      <c r="E40" s="119">
        <v>7172</v>
      </c>
      <c r="F40" s="119">
        <v>7884</v>
      </c>
      <c r="G40" s="119">
        <v>3966</v>
      </c>
      <c r="H40" s="119">
        <v>1612</v>
      </c>
      <c r="I40" s="119">
        <v>607</v>
      </c>
      <c r="J40" s="119">
        <v>1705</v>
      </c>
      <c r="K40" s="58">
        <v>1875</v>
      </c>
      <c r="L40" s="6">
        <v>1214</v>
      </c>
      <c r="M40" s="119">
        <v>1242</v>
      </c>
      <c r="N40" s="120">
        <v>325</v>
      </c>
      <c r="O40" s="272">
        <v>317</v>
      </c>
      <c r="P40" s="272">
        <v>479</v>
      </c>
      <c r="Q40" s="119">
        <v>795</v>
      </c>
      <c r="R40" s="119">
        <v>722</v>
      </c>
      <c r="S40" s="119">
        <v>890</v>
      </c>
      <c r="T40" s="119">
        <v>567</v>
      </c>
      <c r="U40" s="119">
        <v>788</v>
      </c>
      <c r="V40" s="119">
        <v>999</v>
      </c>
      <c r="W40" s="119">
        <v>1194</v>
      </c>
      <c r="X40" s="119">
        <v>1002</v>
      </c>
      <c r="Y40" s="119">
        <v>624</v>
      </c>
      <c r="Z40" s="119">
        <v>350</v>
      </c>
      <c r="AA40" s="119">
        <v>677</v>
      </c>
      <c r="AB40" s="119">
        <v>746</v>
      </c>
      <c r="AC40" s="119">
        <v>705</v>
      </c>
      <c r="AD40" s="150"/>
      <c r="AE40"/>
      <c r="AF40"/>
    </row>
    <row r="41" spans="1:32" s="23" customFormat="1" ht="20.100000000000001" customHeight="1" x14ac:dyDescent="0.2">
      <c r="A41" s="273" t="s">
        <v>48</v>
      </c>
      <c r="B41" s="19"/>
      <c r="C41" s="189"/>
      <c r="D41" s="190">
        <v>1130</v>
      </c>
      <c r="E41" s="190">
        <v>994</v>
      </c>
      <c r="F41" s="190">
        <v>373</v>
      </c>
      <c r="G41" s="190">
        <v>449</v>
      </c>
      <c r="H41" s="190">
        <v>160</v>
      </c>
      <c r="I41" s="190">
        <v>373</v>
      </c>
      <c r="J41" s="190">
        <v>801</v>
      </c>
      <c r="K41" s="191">
        <v>769</v>
      </c>
      <c r="L41" s="190">
        <v>707</v>
      </c>
      <c r="M41" s="187">
        <v>1548</v>
      </c>
      <c r="N41" s="273">
        <v>1196</v>
      </c>
      <c r="O41" s="274">
        <v>790</v>
      </c>
      <c r="P41" s="274">
        <v>483</v>
      </c>
      <c r="Q41" s="190">
        <v>574</v>
      </c>
      <c r="R41" s="190">
        <v>1506</v>
      </c>
      <c r="S41" s="190">
        <v>1657</v>
      </c>
      <c r="T41" s="190">
        <v>1426</v>
      </c>
      <c r="U41" s="190">
        <v>552</v>
      </c>
      <c r="V41" s="190">
        <v>160</v>
      </c>
      <c r="W41" s="190">
        <v>335</v>
      </c>
      <c r="X41" s="190">
        <v>556</v>
      </c>
      <c r="Y41" s="190">
        <v>634</v>
      </c>
      <c r="Z41" s="190">
        <v>1015</v>
      </c>
      <c r="AA41" s="190">
        <v>1035</v>
      </c>
      <c r="AB41" s="190">
        <v>1045</v>
      </c>
      <c r="AC41" s="190">
        <v>805</v>
      </c>
      <c r="AE41"/>
      <c r="AF41"/>
    </row>
    <row r="42" spans="1:32" s="23" customFormat="1" ht="20.100000000000001" customHeight="1" x14ac:dyDescent="0.2">
      <c r="A42" s="119" t="s">
        <v>49</v>
      </c>
      <c r="B42" s="6"/>
      <c r="C42" s="6"/>
      <c r="D42" s="6">
        <v>4799</v>
      </c>
      <c r="E42" s="6">
        <v>4840</v>
      </c>
      <c r="F42" s="6">
        <v>4354</v>
      </c>
      <c r="G42" s="6">
        <v>3126</v>
      </c>
      <c r="H42" s="6">
        <v>3010</v>
      </c>
      <c r="I42" s="6">
        <v>3757</v>
      </c>
      <c r="J42" s="6">
        <v>4940</v>
      </c>
      <c r="K42" s="58">
        <v>5943</v>
      </c>
      <c r="L42" s="6">
        <v>4310</v>
      </c>
      <c r="M42" s="5">
        <v>4193</v>
      </c>
      <c r="N42" s="119">
        <v>5463</v>
      </c>
      <c r="O42" s="272">
        <v>7054</v>
      </c>
      <c r="P42" s="272">
        <v>6704</v>
      </c>
      <c r="Q42" s="6">
        <v>4435</v>
      </c>
      <c r="R42" s="6">
        <v>4149</v>
      </c>
      <c r="S42" s="6">
        <v>4662</v>
      </c>
      <c r="T42" s="6">
        <v>4522</v>
      </c>
      <c r="U42" s="6">
        <v>3283</v>
      </c>
      <c r="V42" s="6">
        <v>1727</v>
      </c>
      <c r="W42" s="6">
        <v>1915</v>
      </c>
      <c r="X42" s="6">
        <v>2046</v>
      </c>
      <c r="Y42" s="6">
        <v>2398</v>
      </c>
      <c r="Z42" s="6">
        <v>2917</v>
      </c>
      <c r="AA42" s="6">
        <v>2096</v>
      </c>
      <c r="AB42" s="6">
        <v>2490</v>
      </c>
      <c r="AC42" s="6">
        <v>1845</v>
      </c>
      <c r="AE42"/>
      <c r="AF42"/>
    </row>
    <row r="43" spans="1:32" s="23" customFormat="1" ht="20.100000000000001" customHeight="1" x14ac:dyDescent="0.2">
      <c r="A43" s="119" t="s">
        <v>89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>
        <v>2218</v>
      </c>
      <c r="Q43" s="6">
        <v>1617</v>
      </c>
      <c r="R43" s="6">
        <v>1609</v>
      </c>
      <c r="S43" s="6">
        <v>1775</v>
      </c>
      <c r="T43" s="6">
        <v>1690</v>
      </c>
      <c r="U43" s="6">
        <v>959</v>
      </c>
      <c r="V43" s="6">
        <v>1302</v>
      </c>
      <c r="W43" s="6">
        <v>1308</v>
      </c>
      <c r="X43" s="6">
        <v>1052</v>
      </c>
      <c r="Y43" s="6">
        <v>1860</v>
      </c>
      <c r="Z43" s="6">
        <v>2367</v>
      </c>
      <c r="AA43" s="6">
        <v>3356</v>
      </c>
      <c r="AB43" s="6">
        <v>3724</v>
      </c>
      <c r="AC43" s="6">
        <v>4151</v>
      </c>
      <c r="AE43"/>
      <c r="AF43"/>
    </row>
    <row r="44" spans="1:32" s="23" customFormat="1" ht="20.100000000000001" customHeight="1" x14ac:dyDescent="0.2">
      <c r="A44" s="192" t="s">
        <v>50</v>
      </c>
      <c r="B44" s="193"/>
      <c r="C44" s="194"/>
      <c r="D44" s="65"/>
      <c r="E44" s="65"/>
      <c r="F44" s="65"/>
      <c r="G44" s="65"/>
      <c r="H44" s="65"/>
      <c r="I44" s="65"/>
      <c r="J44" s="65"/>
      <c r="K44" s="195"/>
      <c r="L44" s="65"/>
      <c r="M44" s="65"/>
      <c r="N44" s="275"/>
      <c r="O44" s="276"/>
      <c r="P44" s="276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E44"/>
      <c r="AF44"/>
    </row>
    <row r="45" spans="1:32" s="23" customFormat="1" ht="20.100000000000001" customHeight="1" x14ac:dyDescent="0.2">
      <c r="A45" s="25" t="s">
        <v>53</v>
      </c>
      <c r="B45" s="26"/>
      <c r="C45" s="27"/>
      <c r="D45" s="6">
        <v>133</v>
      </c>
      <c r="E45" s="6">
        <v>105</v>
      </c>
      <c r="F45" s="6">
        <v>104</v>
      </c>
      <c r="G45" s="6">
        <v>16</v>
      </c>
      <c r="H45" s="6">
        <v>21</v>
      </c>
      <c r="I45" s="6">
        <v>20</v>
      </c>
      <c r="J45" s="6">
        <v>11</v>
      </c>
      <c r="K45" s="58">
        <v>15</v>
      </c>
      <c r="L45" s="6">
        <v>10</v>
      </c>
      <c r="M45" s="6">
        <v>10</v>
      </c>
      <c r="N45" s="120">
        <v>4</v>
      </c>
      <c r="O45" s="272">
        <v>4</v>
      </c>
      <c r="P45" s="272">
        <v>2</v>
      </c>
      <c r="Q45" s="6">
        <v>5</v>
      </c>
      <c r="R45" s="6">
        <v>3</v>
      </c>
      <c r="S45" s="6">
        <v>4</v>
      </c>
      <c r="T45" s="6">
        <v>8</v>
      </c>
      <c r="U45" s="6">
        <v>5</v>
      </c>
      <c r="V45" s="6">
        <v>5</v>
      </c>
      <c r="W45" s="6">
        <v>9</v>
      </c>
      <c r="X45" s="6">
        <v>21</v>
      </c>
      <c r="Y45" s="6">
        <v>37</v>
      </c>
      <c r="Z45" s="6">
        <v>21</v>
      </c>
      <c r="AA45" s="6">
        <v>31</v>
      </c>
      <c r="AB45" s="6">
        <v>63</v>
      </c>
      <c r="AC45" s="6">
        <v>81</v>
      </c>
      <c r="AE45"/>
      <c r="AF45"/>
    </row>
    <row r="46" spans="1:32" s="39" customFormat="1" ht="20.100000000000001" customHeight="1" x14ac:dyDescent="0.2">
      <c r="A46" s="25" t="s">
        <v>90</v>
      </c>
      <c r="B46" s="26"/>
      <c r="C46" s="27"/>
      <c r="D46" s="6">
        <v>19438</v>
      </c>
      <c r="E46" s="6">
        <v>19510</v>
      </c>
      <c r="F46" s="6">
        <v>20416</v>
      </c>
      <c r="G46" s="6">
        <v>20377</v>
      </c>
      <c r="H46" s="6">
        <v>18689</v>
      </c>
      <c r="I46" s="6">
        <v>17868</v>
      </c>
      <c r="J46" s="6">
        <v>17698</v>
      </c>
      <c r="K46" s="58">
        <v>18929</v>
      </c>
      <c r="L46" s="152">
        <v>16789</v>
      </c>
      <c r="M46" s="6">
        <v>16404</v>
      </c>
      <c r="N46" s="120">
        <v>16765</v>
      </c>
      <c r="O46" s="269">
        <v>16264</v>
      </c>
      <c r="P46" s="269">
        <v>17032</v>
      </c>
      <c r="Q46" s="6">
        <v>16612</v>
      </c>
      <c r="R46" s="6">
        <v>16605</v>
      </c>
      <c r="S46" s="6">
        <v>15866</v>
      </c>
      <c r="T46" s="6">
        <v>15770</v>
      </c>
      <c r="U46" s="6">
        <v>16057</v>
      </c>
      <c r="V46" s="6">
        <v>15707</v>
      </c>
      <c r="W46" s="6">
        <v>15409</v>
      </c>
      <c r="X46" s="6">
        <v>16315</v>
      </c>
      <c r="Y46" s="6">
        <v>16816</v>
      </c>
      <c r="Z46" s="6">
        <v>17998</v>
      </c>
      <c r="AA46" s="6">
        <v>18857</v>
      </c>
      <c r="AB46" s="6">
        <v>18454</v>
      </c>
      <c r="AC46" s="6">
        <v>17926</v>
      </c>
      <c r="AD46" s="31"/>
      <c r="AE46"/>
      <c r="AF46"/>
    </row>
    <row r="47" spans="1:32" x14ac:dyDescent="0.2">
      <c r="A47" s="76" t="s">
        <v>91</v>
      </c>
      <c r="B47" s="77"/>
      <c r="C47" s="78"/>
      <c r="D47" s="79">
        <v>238494</v>
      </c>
      <c r="E47" s="79">
        <v>251176</v>
      </c>
      <c r="F47" s="79">
        <v>252553</v>
      </c>
      <c r="G47" s="79">
        <v>235915</v>
      </c>
      <c r="H47" s="79">
        <v>230337</v>
      </c>
      <c r="I47" s="79">
        <v>220970</v>
      </c>
      <c r="J47" s="79">
        <v>236466</v>
      </c>
      <c r="K47" s="79">
        <v>251471</v>
      </c>
      <c r="L47" s="79">
        <v>219310</v>
      </c>
      <c r="M47" s="79">
        <v>211167</v>
      </c>
      <c r="N47" s="76">
        <v>202192</v>
      </c>
      <c r="O47" s="268">
        <v>208100</v>
      </c>
      <c r="P47" s="268">
        <f t="shared" ref="P47:AA47" si="13">SUM(P40:P46,P39,P29,P17)</f>
        <v>197902</v>
      </c>
      <c r="Q47" s="268">
        <f t="shared" si="13"/>
        <v>180032</v>
      </c>
      <c r="R47" s="268">
        <f t="shared" si="13"/>
        <v>184985</v>
      </c>
      <c r="S47" s="268">
        <f t="shared" si="13"/>
        <v>191787</v>
      </c>
      <c r="T47" s="268">
        <f t="shared" si="13"/>
        <v>195370</v>
      </c>
      <c r="U47" s="268">
        <f t="shared" si="13"/>
        <v>180025</v>
      </c>
      <c r="V47" s="268">
        <f t="shared" si="13"/>
        <v>173396</v>
      </c>
      <c r="W47" s="268">
        <f t="shared" si="13"/>
        <v>166613</v>
      </c>
      <c r="X47" s="268">
        <f t="shared" si="13"/>
        <v>170344</v>
      </c>
      <c r="Y47" s="268">
        <f t="shared" si="13"/>
        <v>175639</v>
      </c>
      <c r="Z47" s="268">
        <f t="shared" si="13"/>
        <v>193788</v>
      </c>
      <c r="AA47" s="268">
        <f t="shared" si="13"/>
        <v>197578</v>
      </c>
      <c r="AB47" s="268">
        <f>SUM(AB40:AB46,AB39,AB29,AB17)</f>
        <v>193513</v>
      </c>
      <c r="AC47" s="268">
        <f>SUM(AC40:AC46,AC39,AC29,AC17)</f>
        <v>188109</v>
      </c>
    </row>
    <row r="49" spans="21:26" x14ac:dyDescent="0.2">
      <c r="U49" s="23"/>
    </row>
    <row r="50" spans="21:26" x14ac:dyDescent="0.2">
      <c r="Y50" s="23"/>
      <c r="Z50" s="23"/>
    </row>
  </sheetData>
  <mergeCells count="1">
    <mergeCell ref="A2:J3"/>
  </mergeCells>
  <phoneticPr fontId="0" type="noConversion"/>
  <pageMargins left="0.39370078740157483" right="0.19685039370078741" top="0.39370078740157483" bottom="0.19685039370078741" header="0.51181102362204722" footer="0.51181102362204722"/>
  <pageSetup paperSize="9" scale="7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D49"/>
  <sheetViews>
    <sheetView zoomScaleNormal="100" workbookViewId="0">
      <pane xSplit="3" ySplit="5" topLeftCell="J29" activePane="bottomRight" state="frozen"/>
      <selection pane="topRight" activeCell="AA35" sqref="AA35"/>
      <selection pane="bottomLeft" activeCell="AA35" sqref="AA35"/>
      <selection pane="bottomRight" activeCell="AG45" sqref="AG45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0" width="11.42578125" customWidth="1"/>
    <col min="11" max="11" width="12.7109375" hidden="1" customWidth="1"/>
    <col min="12" max="12" width="0" hidden="1" customWidth="1"/>
    <col min="13" max="13" width="0" style="64" hidden="1" customWidth="1"/>
    <col min="14" max="14" width="11.42578125" hidden="1" customWidth="1"/>
    <col min="15" max="15" width="11.5703125" hidden="1" customWidth="1"/>
    <col min="16" max="17" width="0" hidden="1" customWidth="1"/>
    <col min="18" max="19" width="11.42578125" customWidth="1"/>
    <col min="20" max="21" width="10.7109375" customWidth="1"/>
    <col min="22" max="22" width="10" style="188" customWidth="1"/>
    <col min="23" max="24" width="9.140625" style="146" customWidth="1"/>
  </cols>
  <sheetData>
    <row r="1" spans="1:30" ht="17.100000000000001" customHeight="1" x14ac:dyDescent="0.25">
      <c r="A1" s="69" t="s">
        <v>92</v>
      </c>
      <c r="B1" s="70"/>
      <c r="C1" s="1"/>
      <c r="D1" s="1"/>
      <c r="E1" s="1"/>
      <c r="F1" s="1"/>
      <c r="G1" s="1"/>
      <c r="H1" s="1"/>
      <c r="I1" s="1"/>
      <c r="V1"/>
    </row>
    <row r="2" spans="1:30" ht="17.100000000000001" customHeight="1" x14ac:dyDescent="0.25">
      <c r="A2" s="292" t="s">
        <v>10</v>
      </c>
      <c r="B2" s="292"/>
      <c r="C2" s="292"/>
      <c r="D2" s="292"/>
      <c r="E2" s="292"/>
      <c r="F2" s="292"/>
      <c r="G2" s="292"/>
      <c r="H2" s="292"/>
      <c r="I2" s="292"/>
      <c r="M2" s="64" t="s">
        <v>32</v>
      </c>
      <c r="V2"/>
    </row>
    <row r="3" spans="1:30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  <c r="P3" s="180"/>
      <c r="V3"/>
    </row>
    <row r="4" spans="1:30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V4"/>
      <c r="Z4" s="201"/>
    </row>
    <row r="5" spans="1:30" s="16" customFormat="1" ht="20.100000000000001" customHeight="1" x14ac:dyDescent="0.25">
      <c r="A5" s="91" t="s">
        <v>11</v>
      </c>
      <c r="B5" s="92"/>
      <c r="C5" s="9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94">
        <v>2002</v>
      </c>
      <c r="J5" s="95">
        <v>2003</v>
      </c>
      <c r="K5" s="74">
        <v>2004</v>
      </c>
      <c r="L5" s="74">
        <v>2005</v>
      </c>
      <c r="M5" s="96">
        <v>2006</v>
      </c>
      <c r="N5" s="104">
        <v>2007</v>
      </c>
      <c r="O5" s="74">
        <v>2008</v>
      </c>
      <c r="P5" s="74">
        <v>2009</v>
      </c>
      <c r="Q5" s="74">
        <v>2010</v>
      </c>
      <c r="R5" s="74">
        <v>2011</v>
      </c>
      <c r="S5" s="162">
        <v>2012</v>
      </c>
      <c r="T5" s="162">
        <v>2013</v>
      </c>
      <c r="U5" s="162">
        <v>2014</v>
      </c>
      <c r="V5" s="209">
        <v>2015</v>
      </c>
      <c r="W5" s="208">
        <v>2016</v>
      </c>
      <c r="X5" s="208">
        <v>2017</v>
      </c>
      <c r="Y5" s="208">
        <v>2018</v>
      </c>
      <c r="Z5" s="208">
        <v>2019</v>
      </c>
      <c r="AA5" s="208">
        <v>2020</v>
      </c>
      <c r="AB5" s="208">
        <v>2021</v>
      </c>
      <c r="AC5" s="208">
        <v>2022</v>
      </c>
      <c r="AD5" s="208">
        <v>2023</v>
      </c>
    </row>
    <row r="6" spans="1:30" ht="20.100000000000001" customHeight="1" x14ac:dyDescent="0.2">
      <c r="A6" s="7" t="s">
        <v>93</v>
      </c>
      <c r="B6" s="8"/>
      <c r="C6" s="9"/>
      <c r="D6" s="6">
        <v>12054</v>
      </c>
      <c r="E6" s="6">
        <v>11916</v>
      </c>
      <c r="F6" s="6">
        <v>9829</v>
      </c>
      <c r="G6" s="6">
        <v>8508</v>
      </c>
      <c r="H6" s="6">
        <v>8562</v>
      </c>
      <c r="I6" s="6">
        <v>10203.5</v>
      </c>
      <c r="J6" s="6">
        <v>8776.24</v>
      </c>
      <c r="K6" s="119">
        <v>8959</v>
      </c>
      <c r="L6" s="6">
        <v>11793</v>
      </c>
      <c r="M6" s="6">
        <f t="shared" ref="M6:M11" si="0">L6*1.1</f>
        <v>12972.300000000001</v>
      </c>
      <c r="N6" s="106">
        <v>13138.22</v>
      </c>
      <c r="O6" s="6">
        <v>13017</v>
      </c>
      <c r="P6" s="6">
        <v>9284.4</v>
      </c>
      <c r="Q6" s="6">
        <v>5647</v>
      </c>
      <c r="R6" s="130">
        <v>7770</v>
      </c>
      <c r="S6" s="6">
        <v>9441</v>
      </c>
      <c r="T6" s="6">
        <v>9424</v>
      </c>
      <c r="U6" s="119">
        <v>8377</v>
      </c>
      <c r="V6" s="207">
        <v>8288</v>
      </c>
      <c r="W6" s="119">
        <v>8560</v>
      </c>
      <c r="X6" s="119">
        <v>10014</v>
      </c>
      <c r="Y6" s="235">
        <v>8197</v>
      </c>
      <c r="Z6" s="119">
        <v>9514.35</v>
      </c>
      <c r="AA6" s="119">
        <v>9148.4</v>
      </c>
      <c r="AB6" s="119">
        <v>7676.5</v>
      </c>
      <c r="AC6" s="119">
        <v>8163.84</v>
      </c>
      <c r="AD6" s="119"/>
    </row>
    <row r="7" spans="1:30" ht="20.100000000000001" customHeight="1" x14ac:dyDescent="0.2">
      <c r="A7" s="7" t="s">
        <v>58</v>
      </c>
      <c r="B7" s="8"/>
      <c r="C7" s="9"/>
      <c r="D7" s="6">
        <v>889</v>
      </c>
      <c r="E7" s="6">
        <v>1074</v>
      </c>
      <c r="F7" s="6">
        <v>589</v>
      </c>
      <c r="G7" s="6">
        <v>688</v>
      </c>
      <c r="H7" s="6">
        <v>793</v>
      </c>
      <c r="I7" s="6">
        <v>1079.95</v>
      </c>
      <c r="J7" s="6">
        <v>792.2</v>
      </c>
      <c r="K7" s="6">
        <v>1268</v>
      </c>
      <c r="L7" s="6">
        <v>2387</v>
      </c>
      <c r="M7" s="6">
        <f t="shared" si="0"/>
        <v>2625.7000000000003</v>
      </c>
      <c r="N7" s="106">
        <v>1982.07</v>
      </c>
      <c r="O7" s="6">
        <v>1478</v>
      </c>
      <c r="P7" s="6">
        <v>1577.23</v>
      </c>
      <c r="Q7" s="6">
        <v>1051</v>
      </c>
      <c r="R7" s="130">
        <v>1085</v>
      </c>
      <c r="S7" s="6">
        <v>1734</v>
      </c>
      <c r="T7" s="6">
        <v>1254</v>
      </c>
      <c r="U7" s="119">
        <v>941</v>
      </c>
      <c r="V7" s="207">
        <v>1380</v>
      </c>
      <c r="W7" s="119">
        <v>1680</v>
      </c>
      <c r="X7" s="119">
        <v>1463</v>
      </c>
      <c r="Y7" s="235">
        <v>1284</v>
      </c>
      <c r="Z7" s="119">
        <v>1785</v>
      </c>
      <c r="AA7" s="119">
        <f>1584.16+51.87+89.76</f>
        <v>1725.79</v>
      </c>
      <c r="AB7" s="119">
        <v>1926.2899999999997</v>
      </c>
      <c r="AC7" s="119">
        <v>2025</v>
      </c>
      <c r="AD7" s="119"/>
    </row>
    <row r="8" spans="1:30" ht="20.100000000000001" customHeight="1" x14ac:dyDescent="0.2">
      <c r="A8" s="7" t="s">
        <v>16</v>
      </c>
      <c r="B8" s="8"/>
      <c r="C8" s="9"/>
      <c r="D8" s="6">
        <v>252</v>
      </c>
      <c r="E8" s="6">
        <v>230</v>
      </c>
      <c r="F8" s="6">
        <v>384</v>
      </c>
      <c r="G8" s="6">
        <v>140</v>
      </c>
      <c r="H8" s="6">
        <v>167</v>
      </c>
      <c r="I8" s="6">
        <v>375.49</v>
      </c>
      <c r="J8" s="6">
        <v>332.9</v>
      </c>
      <c r="K8" s="6">
        <v>308</v>
      </c>
      <c r="L8" s="6">
        <v>177</v>
      </c>
      <c r="M8" s="6">
        <f t="shared" si="0"/>
        <v>194.70000000000002</v>
      </c>
      <c r="N8" s="106">
        <v>145.86000000000001</v>
      </c>
      <c r="O8" s="6">
        <v>571</v>
      </c>
      <c r="P8" s="6">
        <v>546.11</v>
      </c>
      <c r="Q8" s="6">
        <v>387</v>
      </c>
      <c r="R8" s="130">
        <v>359</v>
      </c>
      <c r="S8" s="6">
        <v>344</v>
      </c>
      <c r="T8" s="6">
        <v>419</v>
      </c>
      <c r="U8" s="119">
        <v>415</v>
      </c>
      <c r="V8" s="207">
        <v>526</v>
      </c>
      <c r="W8" s="119">
        <v>260</v>
      </c>
      <c r="X8" s="119">
        <v>177</v>
      </c>
      <c r="Y8" s="235">
        <v>193</v>
      </c>
      <c r="Z8" s="119">
        <v>520</v>
      </c>
      <c r="AA8" s="119">
        <v>397.6</v>
      </c>
      <c r="AB8" s="119">
        <v>394.43</v>
      </c>
      <c r="AC8" s="119">
        <v>208.45</v>
      </c>
      <c r="AD8" s="119"/>
    </row>
    <row r="9" spans="1:30" ht="20.100000000000001" customHeight="1" x14ac:dyDescent="0.2">
      <c r="A9" s="7" t="s">
        <v>17</v>
      </c>
      <c r="B9" s="8"/>
      <c r="C9" s="9"/>
      <c r="D9" s="6">
        <v>566</v>
      </c>
      <c r="E9" s="6">
        <v>655</v>
      </c>
      <c r="F9" s="6">
        <v>701</v>
      </c>
      <c r="G9" s="6">
        <v>486</v>
      </c>
      <c r="H9" s="6">
        <v>371</v>
      </c>
      <c r="I9" s="6">
        <v>721.64</v>
      </c>
      <c r="J9" s="6">
        <v>921.66</v>
      </c>
      <c r="K9" s="6">
        <v>1057</v>
      </c>
      <c r="L9" s="6">
        <v>869</v>
      </c>
      <c r="M9" s="6">
        <f t="shared" si="0"/>
        <v>955.90000000000009</v>
      </c>
      <c r="N9" s="106">
        <v>1172</v>
      </c>
      <c r="O9" s="6">
        <v>1215</v>
      </c>
      <c r="P9" s="6">
        <v>1059.4000000000001</v>
      </c>
      <c r="Q9" s="6">
        <v>1718</v>
      </c>
      <c r="R9" s="130">
        <v>1737</v>
      </c>
      <c r="S9" s="6">
        <v>2572</v>
      </c>
      <c r="T9" s="6">
        <v>2291</v>
      </c>
      <c r="U9" s="119">
        <v>2482</v>
      </c>
      <c r="V9" s="207">
        <v>2401</v>
      </c>
      <c r="W9" s="119">
        <v>1970</v>
      </c>
      <c r="X9" s="119">
        <v>1692</v>
      </c>
      <c r="Y9" s="235">
        <v>1741</v>
      </c>
      <c r="Z9" s="119">
        <v>2049</v>
      </c>
      <c r="AA9" s="119">
        <v>1817.18</v>
      </c>
      <c r="AB9" s="119">
        <v>1897.12</v>
      </c>
      <c r="AC9" s="119">
        <v>1510.17</v>
      </c>
      <c r="AD9" s="119"/>
    </row>
    <row r="10" spans="1:30" ht="20.100000000000001" customHeight="1" x14ac:dyDescent="0.2">
      <c r="A10" s="7" t="s">
        <v>59</v>
      </c>
      <c r="B10" s="8"/>
      <c r="C10" s="9"/>
      <c r="D10" s="6">
        <v>133990</v>
      </c>
      <c r="E10" s="6">
        <v>136244</v>
      </c>
      <c r="F10" s="6">
        <v>131467</v>
      </c>
      <c r="G10" s="6">
        <v>138790</v>
      </c>
      <c r="H10" s="6">
        <v>139387</v>
      </c>
      <c r="I10" s="6">
        <v>157600.62</v>
      </c>
      <c r="J10" s="6">
        <v>165164.96</v>
      </c>
      <c r="K10" s="6">
        <v>171487</v>
      </c>
      <c r="L10" s="6">
        <v>91822</v>
      </c>
      <c r="M10" s="6">
        <f t="shared" si="0"/>
        <v>101004.20000000001</v>
      </c>
      <c r="N10" s="106">
        <v>95884.4</v>
      </c>
      <c r="O10" s="6">
        <v>124448</v>
      </c>
      <c r="P10" s="6">
        <v>91811.66</v>
      </c>
      <c r="Q10" s="6">
        <v>82323</v>
      </c>
      <c r="R10" s="130">
        <v>49599</v>
      </c>
      <c r="S10" s="6">
        <v>73672</v>
      </c>
      <c r="T10" s="6">
        <v>72958</v>
      </c>
      <c r="U10" s="119">
        <v>67907</v>
      </c>
      <c r="V10" s="207">
        <v>70948</v>
      </c>
      <c r="W10" s="119">
        <v>83785</v>
      </c>
      <c r="X10" s="119">
        <v>64105</v>
      </c>
      <c r="Y10" s="235">
        <v>58955</v>
      </c>
      <c r="Z10" s="119">
        <v>52538</v>
      </c>
      <c r="AA10" s="119">
        <v>56031.07</v>
      </c>
      <c r="AB10" s="119">
        <v>62136.15</v>
      </c>
      <c r="AC10" s="119">
        <v>67083.990000000005</v>
      </c>
      <c r="AD10" s="119"/>
    </row>
    <row r="11" spans="1:30" ht="20.100000000000001" customHeight="1" x14ac:dyDescent="0.2">
      <c r="A11" s="7" t="s">
        <v>94</v>
      </c>
      <c r="B11" s="8"/>
      <c r="C11" s="9"/>
      <c r="D11" s="6">
        <v>28647</v>
      </c>
      <c r="E11" s="6">
        <v>28685</v>
      </c>
      <c r="F11" s="6">
        <v>25420</v>
      </c>
      <c r="G11" s="6">
        <v>23808</v>
      </c>
      <c r="H11" s="6">
        <v>24426</v>
      </c>
      <c r="I11" s="6">
        <v>26730.77</v>
      </c>
      <c r="J11" s="6">
        <v>24457.33</v>
      </c>
      <c r="K11" s="6">
        <v>22459</v>
      </c>
      <c r="L11" s="6">
        <v>24271</v>
      </c>
      <c r="M11" s="6">
        <f t="shared" si="0"/>
        <v>26698.100000000002</v>
      </c>
      <c r="N11" s="106">
        <v>24376.799999999999</v>
      </c>
      <c r="O11" s="6">
        <v>30504</v>
      </c>
      <c r="P11" s="6">
        <v>27691.87</v>
      </c>
      <c r="Q11" s="6">
        <v>21981</v>
      </c>
      <c r="R11" s="130">
        <v>20888</v>
      </c>
      <c r="S11" s="6">
        <v>25707</v>
      </c>
      <c r="T11" s="6">
        <v>27859</v>
      </c>
      <c r="U11" s="119">
        <v>27407</v>
      </c>
      <c r="V11" s="207">
        <v>24290</v>
      </c>
      <c r="W11" s="119">
        <v>23374</v>
      </c>
      <c r="X11" s="119">
        <v>20942</v>
      </c>
      <c r="Y11" s="235">
        <v>21868</v>
      </c>
      <c r="Z11" s="119">
        <v>24831</v>
      </c>
      <c r="AA11" s="119">
        <v>23842.95</v>
      </c>
      <c r="AB11" s="119">
        <v>24219.33</v>
      </c>
      <c r="AC11" s="119">
        <v>22809.09</v>
      </c>
      <c r="AD11" s="119"/>
    </row>
    <row r="12" spans="1:30" ht="20.100000000000001" customHeight="1" x14ac:dyDescent="0.2">
      <c r="A12" s="7" t="s">
        <v>20</v>
      </c>
      <c r="B12" s="8"/>
      <c r="C12" s="9"/>
      <c r="D12" s="6" t="s">
        <v>95</v>
      </c>
      <c r="E12" s="6" t="s">
        <v>95</v>
      </c>
      <c r="F12" s="6"/>
      <c r="G12" s="6"/>
      <c r="H12" s="6"/>
      <c r="I12" s="6"/>
      <c r="J12" s="6"/>
      <c r="K12" s="6">
        <v>0</v>
      </c>
      <c r="L12" s="6"/>
      <c r="M12" s="6"/>
      <c r="N12" s="106"/>
      <c r="O12" s="6">
        <v>0</v>
      </c>
      <c r="P12" s="6"/>
      <c r="Q12" s="6">
        <v>0</v>
      </c>
      <c r="R12" s="130">
        <v>0</v>
      </c>
      <c r="S12" s="6">
        <v>0</v>
      </c>
      <c r="T12" s="6">
        <v>0</v>
      </c>
      <c r="U12" s="119"/>
      <c r="V12" s="207">
        <v>0</v>
      </c>
      <c r="W12" s="119">
        <v>0</v>
      </c>
      <c r="X12" s="119">
        <v>0</v>
      </c>
      <c r="Y12" s="235">
        <v>0</v>
      </c>
      <c r="Z12" s="119">
        <v>0</v>
      </c>
      <c r="AA12" s="119">
        <v>0</v>
      </c>
      <c r="AB12" s="119"/>
      <c r="AC12" s="119">
        <v>0</v>
      </c>
      <c r="AD12" s="119"/>
    </row>
    <row r="13" spans="1:30" ht="20.100000000000001" customHeight="1" x14ac:dyDescent="0.2">
      <c r="A13" s="7" t="s">
        <v>22</v>
      </c>
      <c r="B13" s="8"/>
      <c r="C13" s="9"/>
      <c r="D13" s="6">
        <v>3282</v>
      </c>
      <c r="E13" s="6">
        <v>3498</v>
      </c>
      <c r="F13" s="6">
        <v>2868</v>
      </c>
      <c r="G13" s="6">
        <v>3642</v>
      </c>
      <c r="H13" s="6">
        <v>4206</v>
      </c>
      <c r="I13" s="6">
        <v>4808.34</v>
      </c>
      <c r="J13" s="6">
        <v>5208</v>
      </c>
      <c r="K13" s="6">
        <v>4935</v>
      </c>
      <c r="L13" s="6">
        <v>5462</v>
      </c>
      <c r="M13" s="6">
        <f>L13*1.1</f>
        <v>6008.2000000000007</v>
      </c>
      <c r="N13" s="106">
        <v>3328.85</v>
      </c>
      <c r="O13" s="6">
        <v>4840</v>
      </c>
      <c r="P13" s="6">
        <v>6296</v>
      </c>
      <c r="Q13" s="6">
        <v>5647</v>
      </c>
      <c r="R13" s="130">
        <v>6107</v>
      </c>
      <c r="S13" s="6">
        <v>8261</v>
      </c>
      <c r="T13" s="6">
        <v>8311</v>
      </c>
      <c r="U13" s="119">
        <v>7554</v>
      </c>
      <c r="V13" s="207">
        <v>5702</v>
      </c>
      <c r="W13" s="119">
        <v>5400</v>
      </c>
      <c r="X13" s="119">
        <v>5381</v>
      </c>
      <c r="Y13" s="235">
        <v>6380</v>
      </c>
      <c r="Z13" s="119">
        <v>6677</v>
      </c>
      <c r="AA13" s="119">
        <v>7870.99</v>
      </c>
      <c r="AB13" s="119">
        <v>8288.2199999999993</v>
      </c>
      <c r="AC13" s="119">
        <v>8742.7199999999993</v>
      </c>
      <c r="AD13" s="119"/>
    </row>
    <row r="14" spans="1:30" ht="20.100000000000001" customHeight="1" x14ac:dyDescent="0.2">
      <c r="A14" s="7" t="s">
        <v>23</v>
      </c>
      <c r="B14" s="8"/>
      <c r="C14" s="9"/>
      <c r="D14" s="6">
        <v>12670</v>
      </c>
      <c r="E14" s="6">
        <v>13175</v>
      </c>
      <c r="F14" s="6">
        <v>13166</v>
      </c>
      <c r="G14" s="6">
        <v>12759</v>
      </c>
      <c r="H14" s="6">
        <v>12834</v>
      </c>
      <c r="I14" s="6">
        <v>12319.29</v>
      </c>
      <c r="J14" s="6">
        <v>12407</v>
      </c>
      <c r="K14" s="6">
        <v>12261</v>
      </c>
      <c r="L14" s="6">
        <v>11517</v>
      </c>
      <c r="M14" s="6">
        <f>L14*1.1</f>
        <v>12668.7</v>
      </c>
      <c r="N14" s="106">
        <v>12560.79</v>
      </c>
      <c r="O14" s="6">
        <v>11350</v>
      </c>
      <c r="P14" s="6">
        <v>13098.52</v>
      </c>
      <c r="Q14" s="6">
        <v>14192</v>
      </c>
      <c r="R14" s="131">
        <v>14729</v>
      </c>
      <c r="S14" s="6">
        <v>13172</v>
      </c>
      <c r="T14" s="6">
        <v>10289</v>
      </c>
      <c r="U14" s="119">
        <v>10219</v>
      </c>
      <c r="V14" s="207">
        <v>11174</v>
      </c>
      <c r="W14" s="119">
        <v>11770</v>
      </c>
      <c r="X14" s="119">
        <v>11515</v>
      </c>
      <c r="Y14" s="235">
        <v>10404</v>
      </c>
      <c r="Z14" s="119">
        <v>11662</v>
      </c>
      <c r="AA14" s="119">
        <v>10785.31</v>
      </c>
      <c r="AB14" s="119">
        <v>11570.32</v>
      </c>
      <c r="AC14" s="119">
        <f>11458.03+7</f>
        <v>11465.03</v>
      </c>
      <c r="AD14" s="119"/>
    </row>
    <row r="15" spans="1:30" ht="20.100000000000001" customHeight="1" x14ac:dyDescent="0.2">
      <c r="A15" s="7" t="s">
        <v>96</v>
      </c>
      <c r="B15" s="8"/>
      <c r="C15" s="9"/>
      <c r="D15" s="6"/>
      <c r="E15" s="6"/>
      <c r="F15" s="6"/>
      <c r="G15" s="6"/>
      <c r="H15" s="6"/>
      <c r="I15" s="6"/>
      <c r="J15" s="6"/>
      <c r="K15" s="6"/>
      <c r="L15" s="6"/>
      <c r="M15" s="6"/>
      <c r="N15" s="23"/>
      <c r="O15" s="6"/>
      <c r="P15" s="6"/>
      <c r="Q15" s="6"/>
      <c r="R15" s="131"/>
      <c r="S15" s="6"/>
      <c r="T15" s="6"/>
      <c r="U15" s="119"/>
      <c r="V15" s="207"/>
      <c r="W15" s="119"/>
      <c r="X15" s="119"/>
      <c r="Y15" s="235"/>
      <c r="Z15" s="119">
        <v>47.83</v>
      </c>
      <c r="AA15" s="119">
        <f>51.71+70.28+232.91</f>
        <v>354.9</v>
      </c>
      <c r="AB15" s="243">
        <f>73.93+229.68+65.64</f>
        <v>369.25</v>
      </c>
      <c r="AC15" s="119">
        <v>442.17</v>
      </c>
      <c r="AD15" s="119"/>
    </row>
    <row r="16" spans="1:30" s="14" customFormat="1" ht="20.100000000000001" customHeight="1" x14ac:dyDescent="0.2">
      <c r="A16" s="277" t="s">
        <v>24</v>
      </c>
      <c r="B16" s="278"/>
      <c r="C16" s="279"/>
      <c r="D16" s="79">
        <v>180296</v>
      </c>
      <c r="E16" s="79">
        <v>183561</v>
      </c>
      <c r="F16" s="79">
        <v>184424</v>
      </c>
      <c r="G16" s="79">
        <v>188821</v>
      </c>
      <c r="H16" s="79">
        <v>190745</v>
      </c>
      <c r="I16" s="79">
        <f t="shared" ref="I16" si="1">SUM(I6:I14)</f>
        <v>213839.59999999998</v>
      </c>
      <c r="J16" s="163">
        <f t="shared" ref="J16:Y16" si="2">SUM(J6:J15)</f>
        <v>218060.28999999998</v>
      </c>
      <c r="K16" s="163">
        <f t="shared" si="2"/>
        <v>222734</v>
      </c>
      <c r="L16" s="163">
        <f t="shared" si="2"/>
        <v>148298</v>
      </c>
      <c r="M16" s="163">
        <f t="shared" si="2"/>
        <v>163127.80000000005</v>
      </c>
      <c r="N16" s="163">
        <f t="shared" si="2"/>
        <v>152588.99</v>
      </c>
      <c r="O16" s="163">
        <f t="shared" si="2"/>
        <v>187423</v>
      </c>
      <c r="P16" s="163">
        <f t="shared" si="2"/>
        <v>151365.19</v>
      </c>
      <c r="Q16" s="163">
        <f t="shared" si="2"/>
        <v>132946</v>
      </c>
      <c r="R16" s="163">
        <f t="shared" si="2"/>
        <v>102274</v>
      </c>
      <c r="S16" s="163">
        <f t="shared" si="2"/>
        <v>134903</v>
      </c>
      <c r="T16" s="163">
        <f t="shared" si="2"/>
        <v>132805</v>
      </c>
      <c r="U16" s="163">
        <f t="shared" si="2"/>
        <v>125302</v>
      </c>
      <c r="V16" s="163">
        <f t="shared" si="2"/>
        <v>124709</v>
      </c>
      <c r="W16" s="163">
        <f t="shared" si="2"/>
        <v>136799</v>
      </c>
      <c r="X16" s="163">
        <f t="shared" si="2"/>
        <v>115289</v>
      </c>
      <c r="Y16" s="163">
        <f t="shared" si="2"/>
        <v>109022</v>
      </c>
      <c r="Z16" s="163">
        <f>SUM(Z6:Z15)</f>
        <v>109624.18000000001</v>
      </c>
      <c r="AA16" s="163">
        <f t="shared" ref="AA16:AB16" si="3">SUM(AA6:AA15)</f>
        <v>111974.18999999999</v>
      </c>
      <c r="AB16" s="163">
        <f t="shared" si="3"/>
        <v>118477.61000000002</v>
      </c>
      <c r="AC16" s="163">
        <f t="shared" ref="AC16:AD16" si="4">SUM(AC6:AC15)</f>
        <v>122450.46</v>
      </c>
      <c r="AD16" s="163">
        <f t="shared" si="4"/>
        <v>0</v>
      </c>
    </row>
    <row r="17" spans="1:30" s="13" customFormat="1" ht="20.100000000000001" customHeight="1" x14ac:dyDescent="0.2">
      <c r="A17" s="280" t="s">
        <v>25</v>
      </c>
      <c r="B17" s="281"/>
      <c r="C17" s="282"/>
      <c r="D17" s="119">
        <v>115</v>
      </c>
      <c r="E17" s="119">
        <v>112</v>
      </c>
      <c r="F17" s="119">
        <v>93</v>
      </c>
      <c r="G17" s="119">
        <v>22</v>
      </c>
      <c r="H17" s="119">
        <v>8</v>
      </c>
      <c r="I17" s="119">
        <v>34</v>
      </c>
      <c r="J17" s="119">
        <v>28.97</v>
      </c>
      <c r="K17" s="119">
        <v>27</v>
      </c>
      <c r="L17" s="119">
        <v>49</v>
      </c>
      <c r="M17" s="119">
        <f>L17*1.1</f>
        <v>53.900000000000006</v>
      </c>
      <c r="N17" s="106">
        <v>37.049999999999997</v>
      </c>
      <c r="O17" s="119">
        <v>20</v>
      </c>
      <c r="P17" s="119">
        <v>1.01</v>
      </c>
      <c r="Q17" s="119">
        <v>0</v>
      </c>
      <c r="R17" s="130">
        <v>10</v>
      </c>
      <c r="S17" s="6">
        <v>0</v>
      </c>
      <c r="T17" s="6">
        <v>0</v>
      </c>
      <c r="U17" s="119"/>
      <c r="V17" s="207">
        <v>0</v>
      </c>
      <c r="W17" s="119">
        <v>0</v>
      </c>
      <c r="X17" s="119">
        <v>0</v>
      </c>
      <c r="Y17" s="235">
        <v>0</v>
      </c>
      <c r="Z17" s="119">
        <v>1</v>
      </c>
      <c r="AA17" s="119">
        <v>1</v>
      </c>
      <c r="AB17" s="119">
        <v>17.2</v>
      </c>
      <c r="AC17" s="119">
        <v>13.16</v>
      </c>
      <c r="AD17" s="119"/>
    </row>
    <row r="18" spans="1:30" ht="20.100000000000001" customHeight="1" x14ac:dyDescent="0.2">
      <c r="A18" s="7" t="s">
        <v>26</v>
      </c>
      <c r="B18" s="8"/>
      <c r="C18" s="9"/>
      <c r="D18" s="6"/>
      <c r="E18" s="6" t="s">
        <v>95</v>
      </c>
      <c r="F18" s="6"/>
      <c r="G18" s="6"/>
      <c r="H18" s="6"/>
      <c r="I18" s="60">
        <v>0</v>
      </c>
      <c r="J18" s="6"/>
      <c r="K18" s="119">
        <v>0</v>
      </c>
      <c r="L18" s="6"/>
      <c r="M18" s="6">
        <v>16</v>
      </c>
      <c r="N18" s="106"/>
      <c r="O18" s="6">
        <v>0</v>
      </c>
      <c r="P18" s="6">
        <v>0.01</v>
      </c>
      <c r="Q18" s="6">
        <v>0</v>
      </c>
      <c r="R18" s="130">
        <v>19</v>
      </c>
      <c r="S18" s="6">
        <v>12</v>
      </c>
      <c r="T18" s="6">
        <v>2</v>
      </c>
      <c r="U18" s="119"/>
      <c r="V18" s="207">
        <v>0</v>
      </c>
      <c r="W18" s="119">
        <v>0</v>
      </c>
      <c r="X18" s="119">
        <v>0</v>
      </c>
      <c r="Y18" s="235">
        <v>0</v>
      </c>
      <c r="Z18" s="119">
        <v>0</v>
      </c>
      <c r="AA18" s="119">
        <v>0</v>
      </c>
      <c r="AB18" s="119"/>
      <c r="AC18" s="119">
        <v>0</v>
      </c>
      <c r="AD18" s="119"/>
    </row>
    <row r="19" spans="1:30" ht="20.100000000000001" customHeight="1" x14ac:dyDescent="0.2">
      <c r="A19" s="25" t="s">
        <v>27</v>
      </c>
      <c r="B19" s="8"/>
      <c r="C19" s="9"/>
      <c r="D19" s="6"/>
      <c r="E19" s="6"/>
      <c r="F19" s="6"/>
      <c r="G19" s="6"/>
      <c r="H19" s="6">
        <v>2</v>
      </c>
      <c r="I19" s="6">
        <v>2</v>
      </c>
      <c r="J19" s="6">
        <v>2</v>
      </c>
      <c r="K19" s="6">
        <v>2</v>
      </c>
      <c r="L19" s="6"/>
      <c r="M19" s="6"/>
      <c r="N19" s="106"/>
      <c r="O19" s="6">
        <v>0</v>
      </c>
      <c r="P19" s="6"/>
      <c r="Q19" s="6">
        <v>0</v>
      </c>
      <c r="R19" s="130">
        <v>0</v>
      </c>
      <c r="S19" s="6">
        <v>0</v>
      </c>
      <c r="T19" s="6">
        <v>0</v>
      </c>
      <c r="U19" s="119"/>
      <c r="V19" s="207">
        <v>0</v>
      </c>
      <c r="W19" s="119">
        <v>0</v>
      </c>
      <c r="X19" s="119">
        <v>0</v>
      </c>
      <c r="Y19" s="235">
        <v>0</v>
      </c>
      <c r="Z19" s="119">
        <v>0</v>
      </c>
      <c r="AA19" s="119">
        <v>0</v>
      </c>
      <c r="AB19" s="119"/>
      <c r="AC19" s="119">
        <v>0</v>
      </c>
      <c r="AD19" s="119"/>
    </row>
    <row r="20" spans="1:30" ht="20.100000000000001" customHeight="1" x14ac:dyDescent="0.2">
      <c r="A20" s="7" t="s">
        <v>28</v>
      </c>
      <c r="B20" s="8"/>
      <c r="C20" s="9"/>
      <c r="D20" s="6"/>
      <c r="E20" s="6"/>
      <c r="F20" s="6"/>
      <c r="G20" s="6">
        <v>1</v>
      </c>
      <c r="H20" s="6">
        <v>1</v>
      </c>
      <c r="I20" s="6">
        <v>5</v>
      </c>
      <c r="J20" s="6">
        <v>4.5</v>
      </c>
      <c r="K20" s="6">
        <v>5</v>
      </c>
      <c r="L20" s="6">
        <v>1</v>
      </c>
      <c r="M20" s="6">
        <f>L20*1.1</f>
        <v>1.1000000000000001</v>
      </c>
      <c r="N20" s="106">
        <v>1</v>
      </c>
      <c r="O20" s="6">
        <v>0</v>
      </c>
      <c r="P20" s="6"/>
      <c r="Q20" s="6">
        <v>0</v>
      </c>
      <c r="R20" s="130">
        <v>0</v>
      </c>
      <c r="S20" s="6">
        <v>0</v>
      </c>
      <c r="T20" s="6">
        <v>0</v>
      </c>
      <c r="U20" s="119"/>
      <c r="V20" s="207">
        <v>0</v>
      </c>
      <c r="W20" s="119">
        <v>0</v>
      </c>
      <c r="X20" s="119">
        <v>0</v>
      </c>
      <c r="Y20" s="235">
        <v>0</v>
      </c>
      <c r="Z20" s="119">
        <v>0</v>
      </c>
      <c r="AA20" s="119">
        <v>0</v>
      </c>
      <c r="AB20" s="64">
        <v>14.09</v>
      </c>
      <c r="AC20" s="119">
        <v>1.1000000000000001</v>
      </c>
      <c r="AD20" s="119"/>
    </row>
    <row r="21" spans="1:30" ht="20.100000000000001" customHeight="1" x14ac:dyDescent="0.2">
      <c r="A21" s="120" t="s">
        <v>31</v>
      </c>
      <c r="B21" s="8"/>
      <c r="C21" s="9"/>
      <c r="D21" s="6">
        <v>77</v>
      </c>
      <c r="E21" s="6">
        <v>47</v>
      </c>
      <c r="F21" s="6">
        <v>102</v>
      </c>
      <c r="G21" s="6">
        <v>105</v>
      </c>
      <c r="H21" s="6">
        <v>124</v>
      </c>
      <c r="I21" s="6">
        <v>127</v>
      </c>
      <c r="J21" s="6">
        <v>52.21</v>
      </c>
      <c r="K21" s="6">
        <v>66</v>
      </c>
      <c r="L21" s="6">
        <v>102</v>
      </c>
      <c r="M21" s="6">
        <f>L21*1.1</f>
        <v>112.2</v>
      </c>
      <c r="N21" s="106">
        <v>37.049999999999997</v>
      </c>
      <c r="O21" s="6">
        <v>38</v>
      </c>
      <c r="P21" s="6">
        <v>4.01</v>
      </c>
      <c r="Q21" s="6">
        <v>9</v>
      </c>
      <c r="R21" s="144">
        <v>6</v>
      </c>
      <c r="S21" s="6">
        <v>6</v>
      </c>
      <c r="T21" s="6">
        <v>1</v>
      </c>
      <c r="U21" s="119">
        <v>1</v>
      </c>
      <c r="V21" s="207">
        <v>8</v>
      </c>
      <c r="W21" s="119">
        <v>4</v>
      </c>
      <c r="X21" s="119">
        <v>4.3</v>
      </c>
      <c r="Y21" s="235">
        <v>3</v>
      </c>
      <c r="Z21" s="119">
        <v>2</v>
      </c>
      <c r="AA21" s="119">
        <v>2.8</v>
      </c>
      <c r="AB21" s="119">
        <v>30.86</v>
      </c>
      <c r="AC21" s="119">
        <v>38.57</v>
      </c>
      <c r="AD21" s="119"/>
    </row>
    <row r="22" spans="1:30" ht="20.100000000000001" customHeight="1" x14ac:dyDescent="0.2">
      <c r="A22" s="7" t="s">
        <v>97</v>
      </c>
      <c r="B22" s="8"/>
      <c r="C22" s="9"/>
      <c r="D22" s="6">
        <v>487</v>
      </c>
      <c r="E22" s="6">
        <v>286</v>
      </c>
      <c r="F22" s="6">
        <v>161</v>
      </c>
      <c r="G22" s="6">
        <v>21</v>
      </c>
      <c r="H22" s="6">
        <v>6</v>
      </c>
      <c r="I22" s="6">
        <v>22</v>
      </c>
      <c r="J22" s="6">
        <v>41.7</v>
      </c>
      <c r="K22" s="6">
        <v>52</v>
      </c>
      <c r="L22" s="6">
        <v>3</v>
      </c>
      <c r="M22" s="6">
        <f>L22*1.1</f>
        <v>3.3000000000000003</v>
      </c>
      <c r="N22" s="106">
        <v>4</v>
      </c>
      <c r="O22" s="6">
        <v>3</v>
      </c>
      <c r="P22" s="6">
        <v>1</v>
      </c>
      <c r="Q22" s="6">
        <v>16</v>
      </c>
      <c r="R22" s="144">
        <v>24</v>
      </c>
      <c r="S22" s="6">
        <v>53</v>
      </c>
      <c r="T22" s="6">
        <v>42</v>
      </c>
      <c r="U22" s="119">
        <v>42</v>
      </c>
      <c r="V22" s="207">
        <v>0</v>
      </c>
      <c r="W22" s="119">
        <v>10</v>
      </c>
      <c r="X22" s="119">
        <v>0</v>
      </c>
      <c r="Y22" s="235">
        <v>0</v>
      </c>
      <c r="Z22" s="119">
        <v>0</v>
      </c>
      <c r="AA22" s="119">
        <v>38.58</v>
      </c>
      <c r="AB22" s="119">
        <v>50.04</v>
      </c>
      <c r="AC22" s="119">
        <v>230.26</v>
      </c>
      <c r="AD22" s="119"/>
    </row>
    <row r="23" spans="1:30" ht="20.100000000000001" customHeight="1" x14ac:dyDescent="0.2">
      <c r="A23" s="7" t="s">
        <v>98</v>
      </c>
      <c r="B23" s="8"/>
      <c r="C23" s="9"/>
      <c r="D23" s="6"/>
      <c r="E23" s="6">
        <v>53</v>
      </c>
      <c r="F23" s="6">
        <v>54</v>
      </c>
      <c r="G23" s="6"/>
      <c r="H23" s="6"/>
      <c r="I23" s="61">
        <v>0</v>
      </c>
      <c r="J23" s="6"/>
      <c r="K23" s="6">
        <v>0</v>
      </c>
      <c r="L23" s="6"/>
      <c r="M23" s="6"/>
      <c r="N23" s="106"/>
      <c r="O23" s="6">
        <v>0</v>
      </c>
      <c r="P23" s="6"/>
      <c r="Q23" s="6">
        <v>0</v>
      </c>
      <c r="R23" s="144">
        <v>45</v>
      </c>
      <c r="S23" s="6">
        <v>69</v>
      </c>
      <c r="T23" s="6">
        <v>13</v>
      </c>
      <c r="U23" s="119">
        <v>13</v>
      </c>
      <c r="V23" s="207">
        <v>5</v>
      </c>
      <c r="W23" s="119">
        <v>0</v>
      </c>
      <c r="X23" s="119">
        <v>0</v>
      </c>
      <c r="Y23" s="235">
        <v>0</v>
      </c>
      <c r="Z23" s="119">
        <v>0</v>
      </c>
      <c r="AA23" s="119">
        <v>0</v>
      </c>
      <c r="AB23" s="119">
        <v>37.32</v>
      </c>
      <c r="AC23" s="119">
        <v>0</v>
      </c>
      <c r="AD23" s="119"/>
    </row>
    <row r="24" spans="1:30" ht="20.100000000000001" customHeight="1" x14ac:dyDescent="0.2">
      <c r="A24" s="7" t="s">
        <v>99</v>
      </c>
      <c r="B24" s="8"/>
      <c r="C24" s="9"/>
      <c r="D24" s="6">
        <v>3526</v>
      </c>
      <c r="E24" s="6">
        <v>4177</v>
      </c>
      <c r="F24" s="6">
        <v>4835</v>
      </c>
      <c r="G24" s="6">
        <v>2063</v>
      </c>
      <c r="H24" s="6">
        <v>2955</v>
      </c>
      <c r="I24" s="6">
        <v>2688</v>
      </c>
      <c r="J24" s="6">
        <v>2374.65</v>
      </c>
      <c r="K24" s="6">
        <v>4286</v>
      </c>
      <c r="L24" s="6">
        <v>4726</v>
      </c>
      <c r="M24" s="6">
        <f>L24*1.1</f>
        <v>5198.6000000000004</v>
      </c>
      <c r="N24" s="106">
        <v>3255.89</v>
      </c>
      <c r="O24" s="6">
        <v>3380</v>
      </c>
      <c r="P24" s="6">
        <v>4273.6400000000003</v>
      </c>
      <c r="Q24" s="6">
        <v>4258</v>
      </c>
      <c r="R24" s="144">
        <v>4730</v>
      </c>
      <c r="S24" s="6">
        <v>4256</v>
      </c>
      <c r="T24" s="6">
        <v>4571</v>
      </c>
      <c r="U24" s="119">
        <v>4571</v>
      </c>
      <c r="V24" s="207">
        <v>3038</v>
      </c>
      <c r="W24" s="119">
        <v>3648</v>
      </c>
      <c r="X24" s="119">
        <v>3193</v>
      </c>
      <c r="Y24" s="235">
        <v>4620</v>
      </c>
      <c r="Z24" s="119">
        <v>5353</v>
      </c>
      <c r="AA24" s="119">
        <v>6712.54</v>
      </c>
      <c r="AB24" s="119">
        <v>4935.32</v>
      </c>
      <c r="AC24" s="119">
        <v>4794.4399999999996</v>
      </c>
      <c r="AD24" s="119"/>
    </row>
    <row r="25" spans="1:30" ht="20.100000000000001" customHeight="1" x14ac:dyDescent="0.2">
      <c r="A25" s="7" t="s">
        <v>35</v>
      </c>
      <c r="B25" s="8"/>
      <c r="C25" s="9"/>
      <c r="D25" s="6"/>
      <c r="E25" s="6"/>
      <c r="F25" s="6"/>
      <c r="G25" s="6"/>
      <c r="H25" s="6"/>
      <c r="I25" s="6"/>
      <c r="J25" s="6"/>
      <c r="K25" s="6">
        <v>0</v>
      </c>
      <c r="L25" s="6"/>
      <c r="M25" s="6"/>
      <c r="N25" s="106"/>
      <c r="O25" s="6">
        <v>0</v>
      </c>
      <c r="P25" s="6"/>
      <c r="Q25" s="6">
        <v>9</v>
      </c>
      <c r="R25" s="130">
        <v>12</v>
      </c>
      <c r="S25" s="6">
        <v>375</v>
      </c>
      <c r="T25" s="6">
        <v>471</v>
      </c>
      <c r="U25" s="119"/>
      <c r="V25" s="207">
        <v>250</v>
      </c>
      <c r="W25" s="119">
        <v>220</v>
      </c>
      <c r="X25" s="119">
        <v>235</v>
      </c>
      <c r="Y25" s="235">
        <v>346</v>
      </c>
      <c r="Z25" s="119">
        <v>430</v>
      </c>
      <c r="AA25" s="119">
        <f>0.4+51.2</f>
        <v>51.6</v>
      </c>
      <c r="AB25" s="119">
        <f>24.07+11.9</f>
        <v>35.97</v>
      </c>
      <c r="AC25" s="119">
        <v>14.29</v>
      </c>
      <c r="AD25" s="119"/>
    </row>
    <row r="26" spans="1:30" s="14" customFormat="1" ht="20.100000000000001" customHeight="1" x14ac:dyDescent="0.2">
      <c r="A26" s="277" t="s">
        <v>36</v>
      </c>
      <c r="B26" s="278"/>
      <c r="C26" s="279"/>
      <c r="D26" s="79">
        <v>6567</v>
      </c>
      <c r="E26" s="79">
        <v>7587</v>
      </c>
      <c r="F26" s="79">
        <v>9345</v>
      </c>
      <c r="G26" s="79">
        <v>6610</v>
      </c>
      <c r="H26" s="79">
        <v>6712</v>
      </c>
      <c r="I26" s="79">
        <f>SUM(I17:I24)</f>
        <v>2878</v>
      </c>
      <c r="J26" s="79">
        <f t="shared" ref="J26:AA26" si="5">SUM(J17:J25)</f>
        <v>2504.0300000000002</v>
      </c>
      <c r="K26" s="79">
        <f t="shared" si="5"/>
        <v>4438</v>
      </c>
      <c r="L26" s="79">
        <f t="shared" si="5"/>
        <v>4881</v>
      </c>
      <c r="M26" s="79">
        <f t="shared" si="5"/>
        <v>5385.1</v>
      </c>
      <c r="N26" s="79">
        <f t="shared" si="5"/>
        <v>3334.99</v>
      </c>
      <c r="O26" s="79">
        <f t="shared" si="5"/>
        <v>3441</v>
      </c>
      <c r="P26" s="79">
        <f t="shared" si="5"/>
        <v>4279.67</v>
      </c>
      <c r="Q26" s="79">
        <f t="shared" si="5"/>
        <v>4292</v>
      </c>
      <c r="R26" s="79">
        <f t="shared" si="5"/>
        <v>4846</v>
      </c>
      <c r="S26" s="79">
        <f t="shared" si="5"/>
        <v>4771</v>
      </c>
      <c r="T26" s="79">
        <f t="shared" si="5"/>
        <v>5100</v>
      </c>
      <c r="U26" s="79">
        <f t="shared" si="5"/>
        <v>4627</v>
      </c>
      <c r="V26" s="79">
        <f t="shared" si="5"/>
        <v>3301</v>
      </c>
      <c r="W26" s="79">
        <f t="shared" si="5"/>
        <v>3882</v>
      </c>
      <c r="X26" s="79">
        <f t="shared" si="5"/>
        <v>3432.3</v>
      </c>
      <c r="Y26" s="79">
        <f t="shared" si="5"/>
        <v>4969</v>
      </c>
      <c r="Z26" s="79">
        <f t="shared" si="5"/>
        <v>5786</v>
      </c>
      <c r="AA26" s="79">
        <f t="shared" si="5"/>
        <v>6806.52</v>
      </c>
      <c r="AB26" s="79">
        <f t="shared" ref="AB26:AC26" si="6">SUM(AB17:AB25)</f>
        <v>5120.8</v>
      </c>
      <c r="AC26" s="79">
        <f t="shared" si="6"/>
        <v>5091.82</v>
      </c>
      <c r="AD26" s="79">
        <f t="shared" ref="AD26" si="7">SUM(AD17:AD25)</f>
        <v>0</v>
      </c>
    </row>
    <row r="27" spans="1:30" s="13" customFormat="1" ht="20.100000000000001" customHeight="1" x14ac:dyDescent="0.2">
      <c r="A27" s="280" t="s">
        <v>100</v>
      </c>
      <c r="B27" s="281"/>
      <c r="C27" s="282"/>
      <c r="D27" s="119">
        <v>3684</v>
      </c>
      <c r="E27" s="119">
        <v>3816</v>
      </c>
      <c r="F27" s="119">
        <v>6271</v>
      </c>
      <c r="G27" s="119">
        <v>6250</v>
      </c>
      <c r="H27" s="119">
        <v>4299</v>
      </c>
      <c r="I27" s="119">
        <v>4841</v>
      </c>
      <c r="J27" s="119">
        <v>5165.03</v>
      </c>
      <c r="K27" s="119">
        <v>6572</v>
      </c>
      <c r="L27" s="6">
        <v>7035</v>
      </c>
      <c r="M27" s="119">
        <f t="shared" ref="M27:M33" si="8">L27*1.1</f>
        <v>7738.5000000000009</v>
      </c>
      <c r="N27" s="106">
        <v>3616.83</v>
      </c>
      <c r="O27" s="119">
        <v>3841</v>
      </c>
      <c r="P27" s="119">
        <v>5096.57</v>
      </c>
      <c r="Q27" s="119">
        <v>5531</v>
      </c>
      <c r="R27" s="145">
        <v>6333</v>
      </c>
      <c r="S27" s="6">
        <v>6951</v>
      </c>
      <c r="T27" s="6">
        <v>10462</v>
      </c>
      <c r="U27" s="119">
        <v>13087</v>
      </c>
      <c r="V27" s="207">
        <v>13420</v>
      </c>
      <c r="W27" s="119">
        <v>13480</v>
      </c>
      <c r="X27" s="119">
        <v>18711</v>
      </c>
      <c r="Y27" s="235">
        <v>20479</v>
      </c>
      <c r="Z27" s="119">
        <v>22149</v>
      </c>
      <c r="AA27" s="119">
        <v>18096.009999999998</v>
      </c>
      <c r="AB27" s="119">
        <v>16308.56</v>
      </c>
      <c r="AC27" s="119">
        <v>14885</v>
      </c>
      <c r="AD27" s="119"/>
    </row>
    <row r="28" spans="1:30" ht="20.100000000000001" customHeight="1" x14ac:dyDescent="0.2">
      <c r="A28" s="7" t="s">
        <v>101</v>
      </c>
      <c r="B28" s="8"/>
      <c r="C28" s="9"/>
      <c r="D28" s="6">
        <v>31</v>
      </c>
      <c r="E28" s="6">
        <v>23</v>
      </c>
      <c r="F28" s="6">
        <v>10</v>
      </c>
      <c r="G28" s="6">
        <v>5</v>
      </c>
      <c r="H28" s="6">
        <v>12</v>
      </c>
      <c r="I28" s="6">
        <v>15.6</v>
      </c>
      <c r="J28" s="6">
        <v>0</v>
      </c>
      <c r="K28" s="119">
        <v>1</v>
      </c>
      <c r="L28" s="6">
        <v>1</v>
      </c>
      <c r="M28" s="6">
        <f t="shared" si="8"/>
        <v>1.1000000000000001</v>
      </c>
      <c r="N28" s="106">
        <v>1.67</v>
      </c>
      <c r="O28" s="6">
        <v>0</v>
      </c>
      <c r="P28" s="6">
        <v>1.67</v>
      </c>
      <c r="Q28" s="6">
        <v>0</v>
      </c>
      <c r="R28" s="145">
        <v>3</v>
      </c>
      <c r="S28" s="6"/>
      <c r="T28" s="6">
        <v>2</v>
      </c>
      <c r="U28" s="119">
        <v>0</v>
      </c>
      <c r="V28" s="207">
        <v>0</v>
      </c>
      <c r="W28" s="119">
        <v>0</v>
      </c>
      <c r="X28" s="119">
        <v>1</v>
      </c>
      <c r="Y28" s="235">
        <v>0</v>
      </c>
      <c r="Z28" s="119">
        <v>1.1200000000000001</v>
      </c>
      <c r="AA28" s="119">
        <v>1.1200000000000001</v>
      </c>
      <c r="AB28" s="119">
        <v>4.79</v>
      </c>
      <c r="AC28" s="119">
        <v>5.48</v>
      </c>
      <c r="AD28" s="119"/>
    </row>
    <row r="29" spans="1:30" ht="20.100000000000001" customHeight="1" x14ac:dyDescent="0.2">
      <c r="A29" s="10" t="s">
        <v>102</v>
      </c>
      <c r="B29" s="11"/>
      <c r="C29" s="12"/>
      <c r="D29" s="6">
        <v>1526</v>
      </c>
      <c r="E29" s="6">
        <v>2114</v>
      </c>
      <c r="F29" s="6">
        <v>2690</v>
      </c>
      <c r="G29" s="6">
        <v>2164</v>
      </c>
      <c r="H29" s="6">
        <v>1641</v>
      </c>
      <c r="I29" s="6">
        <v>1752</v>
      </c>
      <c r="J29" s="6">
        <v>1633.4</v>
      </c>
      <c r="K29" s="6">
        <v>1404</v>
      </c>
      <c r="L29" s="6">
        <v>1753</v>
      </c>
      <c r="M29" s="6">
        <f t="shared" si="8"/>
        <v>1928.3000000000002</v>
      </c>
      <c r="N29" s="106">
        <v>2367.36</v>
      </c>
      <c r="O29" s="6">
        <v>1700</v>
      </c>
      <c r="P29" s="6">
        <v>1773.94</v>
      </c>
      <c r="Q29" s="6">
        <v>1635</v>
      </c>
      <c r="R29" s="145">
        <v>1277</v>
      </c>
      <c r="S29" s="6">
        <v>1210</v>
      </c>
      <c r="T29" s="6">
        <v>1607</v>
      </c>
      <c r="U29" s="119">
        <v>1299</v>
      </c>
      <c r="V29" s="207">
        <v>1500</v>
      </c>
      <c r="W29" s="119">
        <v>1035</v>
      </c>
      <c r="X29" s="119">
        <v>674</v>
      </c>
      <c r="Y29" s="235">
        <v>671</v>
      </c>
      <c r="Z29" s="119">
        <v>1153</v>
      </c>
      <c r="AA29" s="119">
        <v>1067.19</v>
      </c>
      <c r="AB29" s="119">
        <v>1440.82</v>
      </c>
      <c r="AC29" s="119">
        <v>1505.16</v>
      </c>
      <c r="AD29" s="119"/>
    </row>
    <row r="30" spans="1:30" ht="20.100000000000001" customHeight="1" x14ac:dyDescent="0.2">
      <c r="A30" s="7" t="s">
        <v>103</v>
      </c>
      <c r="B30" s="8"/>
      <c r="C30" s="9"/>
      <c r="D30" s="6">
        <v>913</v>
      </c>
      <c r="E30" s="6">
        <v>608</v>
      </c>
      <c r="F30" s="6">
        <v>606</v>
      </c>
      <c r="G30" s="6">
        <v>466</v>
      </c>
      <c r="H30" s="6">
        <v>287</v>
      </c>
      <c r="I30" s="6">
        <v>141</v>
      </c>
      <c r="J30" s="6">
        <v>388.63</v>
      </c>
      <c r="K30" s="6">
        <v>449</v>
      </c>
      <c r="L30" s="6">
        <v>539</v>
      </c>
      <c r="M30" s="6">
        <f t="shared" si="8"/>
        <v>592.90000000000009</v>
      </c>
      <c r="N30" s="106">
        <v>172.65</v>
      </c>
      <c r="O30" s="6">
        <v>77</v>
      </c>
      <c r="P30" s="6">
        <v>126.74</v>
      </c>
      <c r="Q30" s="6">
        <v>703</v>
      </c>
      <c r="R30" s="145">
        <v>744</v>
      </c>
      <c r="S30" s="6">
        <v>439</v>
      </c>
      <c r="T30" s="6">
        <v>345</v>
      </c>
      <c r="U30" s="119">
        <v>538</v>
      </c>
      <c r="V30" s="207">
        <v>429</v>
      </c>
      <c r="W30" s="119">
        <v>480</v>
      </c>
      <c r="X30" s="119">
        <v>1371</v>
      </c>
      <c r="Y30" s="235">
        <v>818</v>
      </c>
      <c r="Z30" s="119">
        <v>1700</v>
      </c>
      <c r="AA30" s="119">
        <v>1138.33</v>
      </c>
      <c r="AB30" s="119">
        <v>995.81</v>
      </c>
      <c r="AC30" s="119">
        <v>737.65</v>
      </c>
      <c r="AD30" s="119"/>
    </row>
    <row r="31" spans="1:30" ht="20.100000000000001" customHeight="1" x14ac:dyDescent="0.2">
      <c r="A31" s="10" t="s">
        <v>104</v>
      </c>
      <c r="B31" s="8"/>
      <c r="C31" s="9"/>
      <c r="D31" s="6">
        <v>469</v>
      </c>
      <c r="E31" s="6">
        <v>278</v>
      </c>
      <c r="F31" s="6">
        <v>389</v>
      </c>
      <c r="G31" s="6">
        <v>312</v>
      </c>
      <c r="H31" s="6">
        <v>223</v>
      </c>
      <c r="I31" s="6">
        <v>13</v>
      </c>
      <c r="J31" s="6">
        <v>13</v>
      </c>
      <c r="K31" s="6">
        <v>24</v>
      </c>
      <c r="L31" s="6">
        <v>90</v>
      </c>
      <c r="M31" s="6">
        <f t="shared" si="8"/>
        <v>99.000000000000014</v>
      </c>
      <c r="N31" s="106">
        <v>15.59</v>
      </c>
      <c r="O31" s="6">
        <v>54</v>
      </c>
      <c r="P31" s="6">
        <v>83.16</v>
      </c>
      <c r="Q31" s="6">
        <v>134</v>
      </c>
      <c r="R31" s="145">
        <v>154</v>
      </c>
      <c r="S31" s="6">
        <v>105</v>
      </c>
      <c r="T31" s="6">
        <v>113</v>
      </c>
      <c r="U31" s="119">
        <v>184</v>
      </c>
      <c r="V31" s="207">
        <v>224</v>
      </c>
      <c r="W31" s="119">
        <v>151</v>
      </c>
      <c r="X31" s="119">
        <v>189</v>
      </c>
      <c r="Y31" s="235">
        <v>215</v>
      </c>
      <c r="Z31" s="119">
        <v>268</v>
      </c>
      <c r="AA31" s="119">
        <v>330.26</v>
      </c>
      <c r="AB31" s="119">
        <v>336.45</v>
      </c>
      <c r="AC31" s="119">
        <v>408.35</v>
      </c>
      <c r="AD31" s="119"/>
    </row>
    <row r="32" spans="1:30" ht="20.100000000000001" customHeight="1" x14ac:dyDescent="0.2">
      <c r="A32" s="7" t="s">
        <v>105</v>
      </c>
      <c r="B32" s="8"/>
      <c r="C32" s="9"/>
      <c r="D32" s="6">
        <v>9968</v>
      </c>
      <c r="E32" s="6">
        <v>13173</v>
      </c>
      <c r="F32" s="6">
        <v>15721</v>
      </c>
      <c r="G32" s="6">
        <v>13169</v>
      </c>
      <c r="H32" s="6">
        <v>10188</v>
      </c>
      <c r="I32" s="6">
        <v>10598</v>
      </c>
      <c r="J32" s="6">
        <v>10989</v>
      </c>
      <c r="K32" s="6">
        <v>10008</v>
      </c>
      <c r="L32" s="6">
        <v>15047</v>
      </c>
      <c r="M32" s="6">
        <f t="shared" si="8"/>
        <v>16551.7</v>
      </c>
      <c r="N32" s="106">
        <v>15090.47</v>
      </c>
      <c r="O32" s="6">
        <v>14422</v>
      </c>
      <c r="P32" s="6">
        <v>13858.38</v>
      </c>
      <c r="Q32" s="6">
        <v>15043</v>
      </c>
      <c r="R32" s="145">
        <v>17298</v>
      </c>
      <c r="S32" s="6">
        <v>20934</v>
      </c>
      <c r="T32" s="6">
        <v>20035</v>
      </c>
      <c r="U32" s="119">
        <v>19888</v>
      </c>
      <c r="V32" s="207">
        <v>27133</v>
      </c>
      <c r="W32" s="119">
        <v>36646</v>
      </c>
      <c r="X32" s="119">
        <v>37655</v>
      </c>
      <c r="Y32" s="235">
        <v>42815</v>
      </c>
      <c r="Z32" s="119">
        <v>31679</v>
      </c>
      <c r="AA32" s="119">
        <f>36228.42+26.88+7.7</f>
        <v>36262.999999999993</v>
      </c>
      <c r="AB32" s="119">
        <f>38825.94+10.82+7.75</f>
        <v>38844.51</v>
      </c>
      <c r="AC32" s="119">
        <v>35952.870000000003</v>
      </c>
      <c r="AD32" s="119"/>
    </row>
    <row r="33" spans="1:30" ht="20.100000000000001" customHeight="1" x14ac:dyDescent="0.2">
      <c r="A33" s="7" t="s">
        <v>106</v>
      </c>
      <c r="B33" s="8"/>
      <c r="C33" s="9"/>
      <c r="D33" s="6">
        <v>8</v>
      </c>
      <c r="E33" s="6">
        <v>69</v>
      </c>
      <c r="F33" s="6">
        <v>158</v>
      </c>
      <c r="G33" s="6">
        <v>203</v>
      </c>
      <c r="H33" s="6">
        <v>109</v>
      </c>
      <c r="I33" s="6">
        <v>65</v>
      </c>
      <c r="J33" s="6">
        <v>40.9</v>
      </c>
      <c r="K33" s="6">
        <v>241</v>
      </c>
      <c r="L33" s="6">
        <v>412</v>
      </c>
      <c r="M33" s="6">
        <f t="shared" si="8"/>
        <v>453.20000000000005</v>
      </c>
      <c r="N33" s="106">
        <v>167.19</v>
      </c>
      <c r="O33" s="6">
        <v>97</v>
      </c>
      <c r="P33" s="6">
        <v>30.6</v>
      </c>
      <c r="Q33" s="6">
        <v>78</v>
      </c>
      <c r="R33" s="145">
        <v>56</v>
      </c>
      <c r="S33" s="6">
        <v>106</v>
      </c>
      <c r="T33" s="6">
        <v>102</v>
      </c>
      <c r="U33" s="119">
        <v>94</v>
      </c>
      <c r="V33" s="207">
        <v>107</v>
      </c>
      <c r="W33" s="119">
        <v>135</v>
      </c>
      <c r="X33" s="119">
        <v>65</v>
      </c>
      <c r="Y33" s="235">
        <v>61</v>
      </c>
      <c r="Z33" s="119">
        <v>148</v>
      </c>
      <c r="AA33" s="119">
        <v>122.57</v>
      </c>
      <c r="AB33" s="119">
        <v>161.47</v>
      </c>
      <c r="AC33" s="119">
        <v>143.12</v>
      </c>
      <c r="AD33" s="119"/>
    </row>
    <row r="34" spans="1:30" ht="20.100000000000001" customHeight="1" x14ac:dyDescent="0.2">
      <c r="A34" s="7" t="s">
        <v>107</v>
      </c>
      <c r="B34" s="8"/>
      <c r="C34" s="9"/>
      <c r="D34" s="6">
        <v>2354</v>
      </c>
      <c r="E34" s="6">
        <v>2843</v>
      </c>
      <c r="F34" s="6">
        <v>3942</v>
      </c>
      <c r="G34" s="6">
        <v>4195</v>
      </c>
      <c r="H34" s="6">
        <v>3508</v>
      </c>
      <c r="I34" s="6">
        <v>4146</v>
      </c>
      <c r="J34" s="6">
        <v>3187.84</v>
      </c>
      <c r="K34" s="6">
        <v>3297</v>
      </c>
      <c r="L34" s="6">
        <v>0</v>
      </c>
      <c r="M34" s="6"/>
      <c r="N34" s="106">
        <v>4658.09</v>
      </c>
      <c r="O34" s="6">
        <v>3712</v>
      </c>
      <c r="P34" s="6">
        <v>3836.42</v>
      </c>
      <c r="Q34" s="6">
        <v>3276</v>
      </c>
      <c r="R34" s="145">
        <v>3461</v>
      </c>
      <c r="S34" s="6">
        <v>1415</v>
      </c>
      <c r="T34" s="6">
        <v>1862</v>
      </c>
      <c r="U34" s="119">
        <v>2251</v>
      </c>
      <c r="V34" s="207">
        <v>2373</v>
      </c>
      <c r="W34" s="119">
        <v>2360</v>
      </c>
      <c r="X34" s="119">
        <v>2439</v>
      </c>
      <c r="Y34" s="235">
        <v>1894</v>
      </c>
      <c r="Z34" s="119">
        <v>2369</v>
      </c>
      <c r="AA34" s="119">
        <v>3127</v>
      </c>
      <c r="AB34" s="119">
        <v>2905.09</v>
      </c>
      <c r="AC34" s="119">
        <v>2772.53</v>
      </c>
      <c r="AD34" s="119"/>
    </row>
    <row r="35" spans="1:30" ht="20.100000000000001" customHeight="1" x14ac:dyDescent="0.2">
      <c r="A35" s="7" t="s">
        <v>42</v>
      </c>
      <c r="B35" s="8"/>
      <c r="C35" s="9"/>
      <c r="D35" s="6">
        <v>37</v>
      </c>
      <c r="E35" s="6">
        <v>21</v>
      </c>
      <c r="F35" s="6">
        <v>185</v>
      </c>
      <c r="G35" s="6">
        <v>205</v>
      </c>
      <c r="H35" s="6">
        <v>123</v>
      </c>
      <c r="I35" s="6">
        <v>96</v>
      </c>
      <c r="J35" s="6">
        <v>147.27000000000001</v>
      </c>
      <c r="K35" s="6">
        <v>21</v>
      </c>
      <c r="L35" s="6">
        <v>20</v>
      </c>
      <c r="M35" s="6">
        <f>L35*1.1</f>
        <v>22</v>
      </c>
      <c r="N35" s="106">
        <v>51.87</v>
      </c>
      <c r="O35" s="6">
        <v>45</v>
      </c>
      <c r="P35" s="6">
        <v>11</v>
      </c>
      <c r="Q35" s="6">
        <v>13</v>
      </c>
      <c r="R35" s="145">
        <v>27</v>
      </c>
      <c r="S35" s="6">
        <v>20</v>
      </c>
      <c r="T35" s="6">
        <v>6</v>
      </c>
      <c r="U35" s="119">
        <v>34</v>
      </c>
      <c r="V35" s="207">
        <v>44</v>
      </c>
      <c r="W35" s="119">
        <v>53</v>
      </c>
      <c r="X35" s="119">
        <v>59</v>
      </c>
      <c r="Y35" s="235">
        <v>34</v>
      </c>
      <c r="Z35" s="119">
        <v>147</v>
      </c>
      <c r="AA35" s="119">
        <f>190.17+46.05</f>
        <v>236.21999999999997</v>
      </c>
      <c r="AB35" s="119">
        <v>166.82</v>
      </c>
      <c r="AC35" s="119">
        <v>115.89</v>
      </c>
      <c r="AD35" s="119"/>
    </row>
    <row r="36" spans="1:30" ht="20.100000000000001" customHeight="1" x14ac:dyDescent="0.2">
      <c r="A36" s="7" t="s">
        <v>43</v>
      </c>
      <c r="B36" s="8"/>
      <c r="C36" s="9"/>
      <c r="D36" s="6"/>
      <c r="E36" s="6"/>
      <c r="F36" s="6"/>
      <c r="G36" s="6">
        <v>7</v>
      </c>
      <c r="H36" s="6">
        <v>54</v>
      </c>
      <c r="I36" s="6">
        <v>257.66000000000003</v>
      </c>
      <c r="J36" s="6">
        <v>392</v>
      </c>
      <c r="K36" s="6">
        <v>336</v>
      </c>
      <c r="L36" s="6">
        <v>799</v>
      </c>
      <c r="M36" s="6">
        <f>L36*1.1</f>
        <v>878.90000000000009</v>
      </c>
      <c r="N36" s="106">
        <v>2404.85</v>
      </c>
      <c r="O36" s="6">
        <v>1163</v>
      </c>
      <c r="P36" s="6">
        <v>1213.25</v>
      </c>
      <c r="Q36" s="6">
        <v>1123</v>
      </c>
      <c r="R36" s="145">
        <v>1151</v>
      </c>
      <c r="S36" s="6">
        <v>473</v>
      </c>
      <c r="T36" s="6">
        <v>689</v>
      </c>
      <c r="U36" s="119">
        <v>951</v>
      </c>
      <c r="V36" s="207">
        <v>1390</v>
      </c>
      <c r="W36" s="119">
        <v>1380</v>
      </c>
      <c r="X36" s="119">
        <v>1727</v>
      </c>
      <c r="Y36" s="235">
        <v>1891</v>
      </c>
      <c r="Z36" s="119">
        <v>2412</v>
      </c>
      <c r="AA36" s="119">
        <v>2208.59</v>
      </c>
      <c r="AB36" s="119">
        <v>1497.12</v>
      </c>
      <c r="AC36" s="119">
        <v>1621.1</v>
      </c>
      <c r="AD36" s="119"/>
    </row>
    <row r="37" spans="1:30" ht="20.100000000000001" customHeight="1" x14ac:dyDescent="0.2">
      <c r="A37" s="7" t="s">
        <v>44</v>
      </c>
      <c r="B37" s="8"/>
      <c r="C37" s="9"/>
      <c r="D37" s="6"/>
      <c r="E37" s="6"/>
      <c r="F37" s="6"/>
      <c r="G37" s="6"/>
      <c r="H37" s="6"/>
      <c r="I37" s="6"/>
      <c r="J37" s="6"/>
      <c r="K37" s="6"/>
      <c r="L37" s="6"/>
      <c r="M37" s="6"/>
      <c r="N37" s="106"/>
      <c r="O37" s="6">
        <v>0</v>
      </c>
      <c r="P37" s="6"/>
      <c r="Q37" s="6">
        <f>3687+185+130</f>
        <v>4002</v>
      </c>
      <c r="R37" s="145">
        <v>3816</v>
      </c>
      <c r="S37" s="6">
        <v>3760</v>
      </c>
      <c r="T37" s="6">
        <v>3709</v>
      </c>
      <c r="U37" s="119">
        <v>2742</v>
      </c>
      <c r="V37" s="207">
        <v>4515</v>
      </c>
      <c r="W37" s="119">
        <v>4110</v>
      </c>
      <c r="X37" s="119">
        <v>4558</v>
      </c>
      <c r="Y37" s="235">
        <v>3202</v>
      </c>
      <c r="Z37" s="119">
        <v>4676</v>
      </c>
      <c r="AA37" s="119">
        <f>1.6+56.2+69.59+69.6+26.36+384+3874</f>
        <v>4481.3500000000004</v>
      </c>
      <c r="AB37" s="119">
        <v>4556</v>
      </c>
      <c r="AC37" s="119">
        <v>4858.21</v>
      </c>
      <c r="AD37" s="119"/>
    </row>
    <row r="38" spans="1:30" s="14" customFormat="1" ht="20.100000000000001" customHeight="1" x14ac:dyDescent="0.2">
      <c r="A38" s="277" t="s">
        <v>45</v>
      </c>
      <c r="B38" s="278"/>
      <c r="C38" s="279"/>
      <c r="D38" s="79">
        <v>16628</v>
      </c>
      <c r="E38" s="79">
        <v>20033</v>
      </c>
      <c r="F38" s="79">
        <v>25872</v>
      </c>
      <c r="G38" s="79">
        <v>22578</v>
      </c>
      <c r="H38" s="79">
        <v>16732</v>
      </c>
      <c r="I38" s="79">
        <f>SUM(I27:I36)</f>
        <v>21925.26</v>
      </c>
      <c r="J38" s="79">
        <f>SUM(J27:J36)</f>
        <v>21957.070000000003</v>
      </c>
      <c r="K38" s="79">
        <f t="shared" ref="K38:R38" si="9">SUM(K27:K37)</f>
        <v>22353</v>
      </c>
      <c r="L38" s="79">
        <f t="shared" si="9"/>
        <v>25696</v>
      </c>
      <c r="M38" s="79">
        <f t="shared" si="9"/>
        <v>28265.600000000002</v>
      </c>
      <c r="N38" s="79">
        <f t="shared" si="9"/>
        <v>28546.569999999996</v>
      </c>
      <c r="O38" s="79">
        <f t="shared" si="9"/>
        <v>25111</v>
      </c>
      <c r="P38" s="79">
        <f t="shared" si="9"/>
        <v>26031.729999999996</v>
      </c>
      <c r="Q38" s="79">
        <f t="shared" si="9"/>
        <v>31538</v>
      </c>
      <c r="R38" s="79">
        <f t="shared" si="9"/>
        <v>34320</v>
      </c>
      <c r="S38" s="163">
        <f>SUM(S27:S37)</f>
        <v>35413</v>
      </c>
      <c r="T38" s="163">
        <f t="shared" ref="T38:AA38" si="10">SUM(T27:T37)</f>
        <v>38932</v>
      </c>
      <c r="U38" s="163">
        <f t="shared" si="10"/>
        <v>41068</v>
      </c>
      <c r="V38" s="163">
        <f t="shared" si="10"/>
        <v>51135</v>
      </c>
      <c r="W38" s="163">
        <f t="shared" si="10"/>
        <v>59830</v>
      </c>
      <c r="X38" s="163">
        <f t="shared" si="10"/>
        <v>67449</v>
      </c>
      <c r="Y38" s="163">
        <f t="shared" si="10"/>
        <v>72080</v>
      </c>
      <c r="Z38" s="163">
        <f t="shared" si="10"/>
        <v>66702.12</v>
      </c>
      <c r="AA38" s="163">
        <f t="shared" si="10"/>
        <v>67071.64</v>
      </c>
      <c r="AB38" s="163">
        <f t="shared" ref="AB38:AC38" si="11">SUM(AB27:AB37)</f>
        <v>67217.440000000002</v>
      </c>
      <c r="AC38" s="163">
        <f t="shared" si="11"/>
        <v>63005.36</v>
      </c>
      <c r="AD38" s="163">
        <f t="shared" ref="AD38" si="12">SUM(AD27:AD37)</f>
        <v>0</v>
      </c>
    </row>
    <row r="39" spans="1:30" s="13" customFormat="1" ht="20.100000000000001" customHeight="1" x14ac:dyDescent="0.2">
      <c r="A39" s="280" t="s">
        <v>64</v>
      </c>
      <c r="B39" s="281"/>
      <c r="C39" s="282"/>
      <c r="D39" s="123"/>
      <c r="E39" s="123"/>
      <c r="F39" s="123"/>
      <c r="G39" s="123"/>
      <c r="H39" s="123"/>
      <c r="I39" s="119">
        <v>0</v>
      </c>
      <c r="J39" s="119"/>
      <c r="K39" s="119">
        <v>0</v>
      </c>
      <c r="L39" s="119"/>
      <c r="M39" s="119"/>
      <c r="N39" s="106">
        <v>7.89</v>
      </c>
      <c r="O39" s="119">
        <v>0</v>
      </c>
      <c r="P39" s="119">
        <v>9.6</v>
      </c>
      <c r="Q39" s="119">
        <v>0</v>
      </c>
      <c r="R39" s="130">
        <v>0</v>
      </c>
      <c r="S39" s="6">
        <v>0</v>
      </c>
      <c r="T39" s="6">
        <v>0</v>
      </c>
      <c r="U39" s="119"/>
      <c r="V39" s="207">
        <v>0</v>
      </c>
      <c r="W39" s="119">
        <v>0</v>
      </c>
      <c r="X39" s="119">
        <v>0</v>
      </c>
      <c r="Y39" s="235">
        <v>0</v>
      </c>
      <c r="Z39" s="119">
        <v>0</v>
      </c>
      <c r="AA39" s="119">
        <v>5</v>
      </c>
      <c r="AB39" s="119"/>
      <c r="AC39" s="119">
        <v>0</v>
      </c>
      <c r="AD39" s="119"/>
    </row>
    <row r="40" spans="1:30" ht="20.100000000000001" customHeight="1" x14ac:dyDescent="0.2">
      <c r="A40" s="7" t="s">
        <v>70</v>
      </c>
      <c r="B40" s="8"/>
      <c r="C40" s="9"/>
      <c r="D40" s="6">
        <v>3022</v>
      </c>
      <c r="E40" s="6">
        <v>4348</v>
      </c>
      <c r="F40" s="6">
        <v>3137</v>
      </c>
      <c r="G40" s="6">
        <v>2625</v>
      </c>
      <c r="H40" s="6">
        <v>4221</v>
      </c>
      <c r="I40" s="6">
        <v>2687.67</v>
      </c>
      <c r="J40" s="6">
        <v>3051</v>
      </c>
      <c r="K40" s="119">
        <v>4800</v>
      </c>
      <c r="L40" s="6">
        <v>4700</v>
      </c>
      <c r="M40" s="6">
        <f>L40*1.1</f>
        <v>5170</v>
      </c>
      <c r="N40" s="106">
        <v>4382.01</v>
      </c>
      <c r="O40" s="6">
        <v>3924</v>
      </c>
      <c r="P40" s="6">
        <v>5772.14</v>
      </c>
      <c r="Q40" s="6">
        <v>7698</v>
      </c>
      <c r="R40" s="130">
        <v>8178</v>
      </c>
      <c r="S40" s="6">
        <v>6339</v>
      </c>
      <c r="T40" s="6">
        <v>8631</v>
      </c>
      <c r="U40" s="119">
        <v>10102</v>
      </c>
      <c r="V40" s="207">
        <v>11697</v>
      </c>
      <c r="W40" s="119">
        <v>12300</v>
      </c>
      <c r="X40" s="119">
        <v>11809</v>
      </c>
      <c r="Y40" s="235">
        <v>11457</v>
      </c>
      <c r="Z40" s="119">
        <v>11671</v>
      </c>
      <c r="AA40" s="119">
        <v>11711.66</v>
      </c>
      <c r="AB40" s="119">
        <v>11002.98</v>
      </c>
      <c r="AC40" s="119">
        <v>12765.67</v>
      </c>
      <c r="AD40" s="119"/>
    </row>
    <row r="41" spans="1:30" ht="20.100000000000001" customHeight="1" x14ac:dyDescent="0.2">
      <c r="A41" s="120" t="s">
        <v>48</v>
      </c>
      <c r="B41" s="8"/>
      <c r="C41" s="9"/>
      <c r="D41" s="6">
        <v>502</v>
      </c>
      <c r="E41" s="6">
        <v>646</v>
      </c>
      <c r="F41" s="6">
        <v>144</v>
      </c>
      <c r="G41" s="6">
        <v>180</v>
      </c>
      <c r="H41" s="6">
        <v>160</v>
      </c>
      <c r="I41" s="6">
        <v>31.79</v>
      </c>
      <c r="J41" s="6">
        <v>49.29</v>
      </c>
      <c r="K41" s="6">
        <v>53</v>
      </c>
      <c r="L41" s="6">
        <v>43</v>
      </c>
      <c r="M41" s="6">
        <f>L41*1.1</f>
        <v>47.300000000000004</v>
      </c>
      <c r="N41" s="106"/>
      <c r="O41" s="6">
        <v>0</v>
      </c>
      <c r="P41" s="6"/>
      <c r="Q41" s="6">
        <v>0</v>
      </c>
      <c r="R41" s="130">
        <v>0</v>
      </c>
      <c r="S41" s="6">
        <v>0</v>
      </c>
      <c r="T41" s="6">
        <v>0</v>
      </c>
      <c r="U41" s="119"/>
      <c r="V41" s="207">
        <v>0</v>
      </c>
      <c r="W41" s="119">
        <v>0</v>
      </c>
      <c r="X41" s="119">
        <v>0</v>
      </c>
      <c r="Y41" s="235">
        <v>0</v>
      </c>
      <c r="Z41" s="119">
        <v>0</v>
      </c>
      <c r="AA41" s="119">
        <v>0</v>
      </c>
      <c r="AB41" s="119">
        <v>0</v>
      </c>
      <c r="AC41" s="119">
        <v>0</v>
      </c>
      <c r="AD41" s="119"/>
    </row>
    <row r="42" spans="1:30" ht="20.100000000000001" customHeight="1" x14ac:dyDescent="0.2">
      <c r="A42" s="120" t="s">
        <v>49</v>
      </c>
      <c r="B42" s="8"/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106">
        <v>209.21</v>
      </c>
      <c r="O42" s="6">
        <v>268</v>
      </c>
      <c r="P42" s="6">
        <v>266.43</v>
      </c>
      <c r="Q42" s="6">
        <v>56</v>
      </c>
      <c r="R42" s="130">
        <v>128</v>
      </c>
      <c r="S42" s="6">
        <v>84</v>
      </c>
      <c r="T42" s="6">
        <v>219</v>
      </c>
      <c r="U42" s="119">
        <v>195</v>
      </c>
      <c r="V42" s="207">
        <v>75</v>
      </c>
      <c r="W42" s="119">
        <v>129</v>
      </c>
      <c r="X42" s="119">
        <v>235</v>
      </c>
      <c r="Y42" s="235">
        <v>424</v>
      </c>
      <c r="Z42" s="119">
        <v>264</v>
      </c>
      <c r="AA42" s="119">
        <v>232.55</v>
      </c>
      <c r="AB42" s="119">
        <v>387.72</v>
      </c>
      <c r="AC42" s="119">
        <v>612.75</v>
      </c>
      <c r="AD42" s="119"/>
    </row>
    <row r="43" spans="1:30" ht="20.100000000000001" customHeight="1" x14ac:dyDescent="0.2">
      <c r="A43" s="7" t="s">
        <v>50</v>
      </c>
      <c r="B43" s="8"/>
      <c r="C43" s="9"/>
      <c r="D43" s="6">
        <v>758</v>
      </c>
      <c r="E43" s="6">
        <v>878</v>
      </c>
      <c r="F43" s="6">
        <v>734</v>
      </c>
      <c r="G43" s="6">
        <v>1087</v>
      </c>
      <c r="H43" s="6">
        <v>828</v>
      </c>
      <c r="I43" s="6">
        <v>702.56</v>
      </c>
      <c r="J43" s="6">
        <v>549</v>
      </c>
      <c r="K43" s="6">
        <v>792</v>
      </c>
      <c r="L43" s="6">
        <v>1337</v>
      </c>
      <c r="M43" s="6">
        <f>L43*1.1</f>
        <v>1470.7</v>
      </c>
      <c r="N43" s="106">
        <v>1536.7</v>
      </c>
      <c r="O43" s="6">
        <v>1418</v>
      </c>
      <c r="P43" s="6">
        <v>2122.86</v>
      </c>
      <c r="Q43" s="6">
        <v>1247</v>
      </c>
      <c r="R43" s="130">
        <v>1771</v>
      </c>
      <c r="S43" s="6">
        <v>2791</v>
      </c>
      <c r="T43" s="6">
        <v>2874</v>
      </c>
      <c r="U43" s="119">
        <v>1709</v>
      </c>
      <c r="V43" s="207">
        <v>624</v>
      </c>
      <c r="W43" s="119">
        <v>670</v>
      </c>
      <c r="X43" s="119">
        <v>1304</v>
      </c>
      <c r="Y43" s="235">
        <v>2489</v>
      </c>
      <c r="Z43" s="119">
        <v>1818</v>
      </c>
      <c r="AA43" s="119">
        <v>1810.5</v>
      </c>
      <c r="AB43" s="119">
        <v>2351.12</v>
      </c>
      <c r="AC43" s="119">
        <v>2984.94</v>
      </c>
      <c r="AD43" s="119"/>
    </row>
    <row r="44" spans="1:30" ht="20.100000000000001" customHeight="1" x14ac:dyDescent="0.2">
      <c r="A44" s="7" t="s">
        <v>51</v>
      </c>
      <c r="B44" s="8"/>
      <c r="C44" s="9"/>
      <c r="D44" s="6">
        <v>1239</v>
      </c>
      <c r="E44" s="6">
        <v>711</v>
      </c>
      <c r="F44" s="6">
        <v>589</v>
      </c>
      <c r="G44" s="6">
        <v>426</v>
      </c>
      <c r="H44" s="6">
        <v>274</v>
      </c>
      <c r="I44" s="6">
        <v>284.70999999999998</v>
      </c>
      <c r="J44" s="6">
        <v>319</v>
      </c>
      <c r="K44" s="6">
        <v>281</v>
      </c>
      <c r="L44" s="6">
        <v>230</v>
      </c>
      <c r="M44" s="6">
        <f>L44*1.1</f>
        <v>253.00000000000003</v>
      </c>
      <c r="N44" s="106">
        <v>270.94</v>
      </c>
      <c r="O44" s="6">
        <v>286</v>
      </c>
      <c r="P44" s="6">
        <v>215.18</v>
      </c>
      <c r="Q44" s="6">
        <v>209</v>
      </c>
      <c r="R44" s="130">
        <v>189</v>
      </c>
      <c r="S44" s="6">
        <v>168</v>
      </c>
      <c r="T44" s="6">
        <v>130</v>
      </c>
      <c r="U44" s="119">
        <v>140</v>
      </c>
      <c r="V44" s="207">
        <v>113</v>
      </c>
      <c r="W44" s="119">
        <v>109</v>
      </c>
      <c r="X44" s="119">
        <v>123</v>
      </c>
      <c r="Y44" s="235">
        <v>121</v>
      </c>
      <c r="Z44" s="119">
        <v>130</v>
      </c>
      <c r="AA44" s="119">
        <v>130.5</v>
      </c>
      <c r="AB44" s="119">
        <v>238.17</v>
      </c>
      <c r="AC44" s="119">
        <v>256.39999999999998</v>
      </c>
      <c r="AD44" s="119"/>
    </row>
    <row r="45" spans="1:30" ht="20.100000000000001" customHeight="1" x14ac:dyDescent="0.2">
      <c r="A45" s="7" t="s">
        <v>108</v>
      </c>
      <c r="B45" s="8"/>
      <c r="C45" s="9"/>
      <c r="D45" s="6" t="s">
        <v>95</v>
      </c>
      <c r="E45" s="6">
        <v>7500</v>
      </c>
      <c r="F45" s="6">
        <v>10800</v>
      </c>
      <c r="G45" s="6">
        <v>10272</v>
      </c>
      <c r="H45" s="6">
        <v>10600</v>
      </c>
      <c r="I45" s="6">
        <v>11112</v>
      </c>
      <c r="J45" s="6">
        <v>10790</v>
      </c>
      <c r="K45" s="6">
        <v>10197</v>
      </c>
      <c r="L45" s="6">
        <v>11250</v>
      </c>
      <c r="M45" s="6">
        <v>8176</v>
      </c>
      <c r="N45" s="106">
        <v>10197</v>
      </c>
      <c r="O45" s="6">
        <v>14024</v>
      </c>
      <c r="P45" s="6">
        <v>13500</v>
      </c>
      <c r="Q45" s="6">
        <v>19374</v>
      </c>
      <c r="R45" s="130">
        <v>19479</v>
      </c>
      <c r="S45" s="6">
        <v>18872</v>
      </c>
      <c r="T45" s="6">
        <v>19500</v>
      </c>
      <c r="U45" s="119">
        <v>26000</v>
      </c>
      <c r="V45" s="207">
        <v>32950</v>
      </c>
      <c r="W45" s="119">
        <v>37700</v>
      </c>
      <c r="X45" s="119">
        <v>20683</v>
      </c>
      <c r="Y45" s="235">
        <v>19362</v>
      </c>
      <c r="Z45" s="119">
        <v>21236</v>
      </c>
      <c r="AA45" s="119">
        <v>33391</v>
      </c>
      <c r="AB45" s="228">
        <v>30000</v>
      </c>
      <c r="AC45" s="247">
        <v>36000</v>
      </c>
      <c r="AD45" s="119"/>
    </row>
    <row r="46" spans="1:30" ht="20.100000000000001" customHeight="1" x14ac:dyDescent="0.2">
      <c r="A46" s="7" t="s">
        <v>53</v>
      </c>
      <c r="B46" s="8"/>
      <c r="C46" s="9"/>
      <c r="D46" s="6">
        <v>4323</v>
      </c>
      <c r="E46" s="6">
        <v>4606</v>
      </c>
      <c r="F46" s="6">
        <v>3826</v>
      </c>
      <c r="G46" s="6">
        <v>2951</v>
      </c>
      <c r="H46" s="6">
        <v>2532</v>
      </c>
      <c r="I46" s="6">
        <v>2228</v>
      </c>
      <c r="J46" s="6">
        <v>3678</v>
      </c>
      <c r="K46" s="6">
        <v>3542</v>
      </c>
      <c r="L46" s="6">
        <v>2623</v>
      </c>
      <c r="M46" s="6">
        <f>L46*1.1</f>
        <v>2885.3</v>
      </c>
      <c r="N46" s="106">
        <v>3766.37</v>
      </c>
      <c r="O46" s="6">
        <v>3925</v>
      </c>
      <c r="P46" s="6">
        <v>2247.59</v>
      </c>
      <c r="Q46" s="6">
        <v>2183</v>
      </c>
      <c r="R46" s="130">
        <v>4395</v>
      </c>
      <c r="S46" s="6">
        <v>3790</v>
      </c>
      <c r="T46" s="6">
        <v>2859</v>
      </c>
      <c r="U46" s="119">
        <v>3483</v>
      </c>
      <c r="V46" s="207">
        <v>3149</v>
      </c>
      <c r="W46" s="119">
        <v>4020</v>
      </c>
      <c r="X46" s="119">
        <v>5559</v>
      </c>
      <c r="Y46" s="235">
        <v>5416</v>
      </c>
      <c r="Z46" s="119">
        <v>5422</v>
      </c>
      <c r="AA46" s="119">
        <f>6218.15+168.05</f>
        <v>6386.2</v>
      </c>
      <c r="AB46" s="119">
        <f>6852+173.91</f>
        <v>7025.91</v>
      </c>
      <c r="AC46" s="119">
        <v>5888.7</v>
      </c>
      <c r="AD46" s="119"/>
    </row>
    <row r="47" spans="1:30" ht="20.100000000000001" customHeight="1" x14ac:dyDescent="0.2">
      <c r="A47" s="7" t="s">
        <v>54</v>
      </c>
      <c r="B47" s="8"/>
      <c r="C47" s="9"/>
      <c r="D47" s="6" t="s">
        <v>95</v>
      </c>
      <c r="E47" s="6" t="s">
        <v>95</v>
      </c>
      <c r="F47" s="6">
        <v>948</v>
      </c>
      <c r="G47" s="6">
        <v>832</v>
      </c>
      <c r="H47" s="6">
        <v>1394</v>
      </c>
      <c r="I47" s="6">
        <v>228.42</v>
      </c>
      <c r="J47" s="6">
        <v>3586.17</v>
      </c>
      <c r="K47" s="6">
        <v>3600</v>
      </c>
      <c r="L47" s="6"/>
      <c r="M47" s="6"/>
      <c r="N47" s="106"/>
      <c r="O47" s="6">
        <v>3900</v>
      </c>
      <c r="P47" s="6">
        <v>2800</v>
      </c>
      <c r="Q47" s="6">
        <v>684</v>
      </c>
      <c r="R47" s="130">
        <v>535</v>
      </c>
      <c r="S47" s="6">
        <v>547</v>
      </c>
      <c r="T47" s="6">
        <v>12045</v>
      </c>
      <c r="U47" s="119">
        <v>3</v>
      </c>
      <c r="V47" s="207">
        <v>1300</v>
      </c>
      <c r="W47" s="119">
        <v>667</v>
      </c>
      <c r="X47" s="119">
        <v>2174</v>
      </c>
      <c r="Y47" s="235">
        <v>4504</v>
      </c>
      <c r="Z47" s="119">
        <v>882</v>
      </c>
      <c r="AA47" s="119">
        <f>89.65+420.5+7.5+13.57+3+240.72+2.3+1171.46+4.9+46.14</f>
        <v>1999.7400000000002</v>
      </c>
      <c r="AB47" s="119">
        <f>44.32+12.5+550.7+3+14.44+119.2+5.4+3477.26+201.97+49.59+6.1</f>
        <v>4484.4800000000014</v>
      </c>
      <c r="AC47" s="5">
        <v>2329.1</v>
      </c>
      <c r="AD47" s="5"/>
    </row>
    <row r="48" spans="1:30" s="14" customFormat="1" ht="20.100000000000001" customHeight="1" x14ac:dyDescent="0.2">
      <c r="A48" s="277" t="s">
        <v>55</v>
      </c>
      <c r="B48" s="278"/>
      <c r="C48" s="279"/>
      <c r="D48" s="79">
        <f>SUM(D40:D47)</f>
        <v>9844</v>
      </c>
      <c r="E48" s="79">
        <f>SUM(E40:E47)</f>
        <v>18689</v>
      </c>
      <c r="F48" s="79">
        <f>SUM(F40:F47)</f>
        <v>20178</v>
      </c>
      <c r="G48" s="79">
        <f>SUM(G40:G47)</f>
        <v>18373</v>
      </c>
      <c r="H48" s="79">
        <f>SUM(H40:H47)</f>
        <v>20009</v>
      </c>
      <c r="I48" s="79">
        <f t="shared" ref="I48:P48" si="13">SUM(I39:I47)</f>
        <v>17275.149999999998</v>
      </c>
      <c r="J48" s="79">
        <f t="shared" si="13"/>
        <v>22022.46</v>
      </c>
      <c r="K48" s="79">
        <f t="shared" si="13"/>
        <v>23265</v>
      </c>
      <c r="L48" s="79">
        <f t="shared" si="13"/>
        <v>20183</v>
      </c>
      <c r="M48" s="79">
        <f t="shared" si="13"/>
        <v>18002.3</v>
      </c>
      <c r="N48" s="79">
        <f t="shared" si="13"/>
        <v>20370.12</v>
      </c>
      <c r="O48" s="79">
        <f t="shared" si="13"/>
        <v>27745</v>
      </c>
      <c r="P48" s="79">
        <f t="shared" si="13"/>
        <v>26933.8</v>
      </c>
      <c r="Q48" s="79">
        <f>SUM(Q39:Q47)</f>
        <v>31451</v>
      </c>
      <c r="R48" s="79">
        <f>SUM(R39:R47)</f>
        <v>34675</v>
      </c>
      <c r="S48" s="163">
        <f>SUM(S39:S47)</f>
        <v>32591</v>
      </c>
      <c r="T48" s="163">
        <f t="shared" ref="T48:AA48" si="14">SUM(T39:T47)</f>
        <v>46258</v>
      </c>
      <c r="U48" s="163">
        <f t="shared" si="14"/>
        <v>41632</v>
      </c>
      <c r="V48" s="163">
        <f t="shared" si="14"/>
        <v>49908</v>
      </c>
      <c r="W48" s="163">
        <f t="shared" si="14"/>
        <v>55595</v>
      </c>
      <c r="X48" s="163">
        <f t="shared" si="14"/>
        <v>41887</v>
      </c>
      <c r="Y48" s="163">
        <f t="shared" si="14"/>
        <v>43773</v>
      </c>
      <c r="Z48" s="163">
        <f t="shared" si="14"/>
        <v>41423</v>
      </c>
      <c r="AA48" s="163">
        <f t="shared" si="14"/>
        <v>55667.149999999994</v>
      </c>
      <c r="AB48" s="163">
        <f t="shared" ref="AB48:AC48" si="15">SUM(AB39:AB47)</f>
        <v>55490.38</v>
      </c>
      <c r="AC48" s="163">
        <f t="shared" si="15"/>
        <v>60837.56</v>
      </c>
      <c r="AD48" s="163">
        <f t="shared" ref="AD48" si="16">SUM(AD39:AD47)</f>
        <v>0</v>
      </c>
    </row>
    <row r="49" spans="1:30" x14ac:dyDescent="0.2">
      <c r="A49" s="305" t="s">
        <v>109</v>
      </c>
      <c r="B49" s="306"/>
      <c r="C49" s="307"/>
      <c r="D49" s="79">
        <f t="shared" ref="D49:K49" si="17" xml:space="preserve"> (D16+D26+D38+D48)</f>
        <v>213335</v>
      </c>
      <c r="E49" s="79">
        <f t="shared" si="17"/>
        <v>229870</v>
      </c>
      <c r="F49" s="79">
        <f t="shared" si="17"/>
        <v>239819</v>
      </c>
      <c r="G49" s="79">
        <f t="shared" si="17"/>
        <v>236382</v>
      </c>
      <c r="H49" s="79">
        <f t="shared" si="17"/>
        <v>234198</v>
      </c>
      <c r="I49" s="79">
        <f t="shared" si="17"/>
        <v>255918.00999999998</v>
      </c>
      <c r="J49" s="79">
        <f t="shared" si="17"/>
        <v>264543.84999999998</v>
      </c>
      <c r="K49" s="79">
        <f t="shared" si="17"/>
        <v>272790</v>
      </c>
      <c r="L49" s="79">
        <f t="shared" ref="L49:R49" si="18" xml:space="preserve"> (L16+L26+L38+L48)</f>
        <v>199058</v>
      </c>
      <c r="M49" s="79">
        <f t="shared" si="18"/>
        <v>214780.80000000005</v>
      </c>
      <c r="N49" s="79">
        <f t="shared" si="18"/>
        <v>204840.66999999998</v>
      </c>
      <c r="O49" s="79">
        <f t="shared" si="18"/>
        <v>243720</v>
      </c>
      <c r="P49" s="79">
        <f t="shared" si="18"/>
        <v>208610.39</v>
      </c>
      <c r="Q49" s="79">
        <f t="shared" si="18"/>
        <v>200227</v>
      </c>
      <c r="R49" s="79">
        <f t="shared" si="18"/>
        <v>176115</v>
      </c>
      <c r="S49" s="163">
        <f>(S16+S26+S38+S48)</f>
        <v>207678</v>
      </c>
      <c r="T49" s="163">
        <f t="shared" ref="T49:AA49" si="19">(T16+T26+T38+T48)</f>
        <v>223095</v>
      </c>
      <c r="U49" s="163">
        <f t="shared" si="19"/>
        <v>212629</v>
      </c>
      <c r="V49" s="163">
        <f t="shared" si="19"/>
        <v>229053</v>
      </c>
      <c r="W49" s="163">
        <f t="shared" si="19"/>
        <v>256106</v>
      </c>
      <c r="X49" s="163">
        <f t="shared" si="19"/>
        <v>228057.3</v>
      </c>
      <c r="Y49" s="163">
        <f t="shared" si="19"/>
        <v>229844</v>
      </c>
      <c r="Z49" s="163">
        <f t="shared" si="19"/>
        <v>223535.3</v>
      </c>
      <c r="AA49" s="163">
        <f t="shared" si="19"/>
        <v>241519.49999999997</v>
      </c>
      <c r="AB49" s="163">
        <f t="shared" ref="AB49:AC49" si="20">(AB16+AB26+AB38+AB48)</f>
        <v>246306.23000000004</v>
      </c>
      <c r="AC49" s="163">
        <f t="shared" si="20"/>
        <v>251385.2</v>
      </c>
      <c r="AD49" s="163">
        <f t="shared" ref="AD49" si="21">(AD16+AD26+AD38+AD48)</f>
        <v>0</v>
      </c>
    </row>
  </sheetData>
  <mergeCells count="2">
    <mergeCell ref="A2:I2"/>
    <mergeCell ref="A49:C49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87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D48"/>
  <sheetViews>
    <sheetView topLeftCell="A25" zoomScaleNormal="100" workbookViewId="0">
      <pane xSplit="3" topLeftCell="J1" activePane="topRight" state="frozen"/>
      <selection activeCell="AA35" sqref="AA35"/>
      <selection pane="topRight" activeCell="AB49" sqref="AB49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2" width="11.42578125" customWidth="1"/>
    <col min="13" max="15" width="0" hidden="1" customWidth="1"/>
    <col min="16" max="18" width="11.42578125" customWidth="1"/>
    <col min="19" max="24" width="11.42578125" style="146" customWidth="1"/>
  </cols>
  <sheetData>
    <row r="1" spans="1:30" ht="17.100000000000001" customHeight="1" x14ac:dyDescent="0.25">
      <c r="A1" s="4" t="s">
        <v>110</v>
      </c>
      <c r="B1" s="1"/>
      <c r="C1" s="1"/>
      <c r="D1" s="1"/>
      <c r="E1" s="1"/>
      <c r="F1" s="1"/>
      <c r="G1" s="1"/>
      <c r="H1" s="1"/>
      <c r="I1" s="1"/>
    </row>
    <row r="2" spans="1:30" ht="17.100000000000001" customHeight="1" x14ac:dyDescent="0.25">
      <c r="A2" s="292" t="s">
        <v>10</v>
      </c>
      <c r="B2" s="292"/>
      <c r="C2" s="292"/>
      <c r="D2" s="292"/>
      <c r="E2" s="292"/>
      <c r="F2" s="292"/>
      <c r="G2" s="292"/>
      <c r="H2" s="292"/>
      <c r="I2" s="292"/>
    </row>
    <row r="3" spans="1:30" ht="17.100000000000001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30" ht="17.100000000000001" customHeight="1" x14ac:dyDescent="0.25">
      <c r="A4" s="1"/>
      <c r="B4" s="1"/>
      <c r="C4" s="1"/>
      <c r="D4" s="1"/>
      <c r="E4" s="1"/>
      <c r="F4" s="1"/>
      <c r="G4" s="1"/>
      <c r="H4" s="1"/>
      <c r="I4" s="1"/>
      <c r="Z4" s="201"/>
      <c r="AD4" s="146" t="s">
        <v>111</v>
      </c>
    </row>
    <row r="5" spans="1:30" s="16" customFormat="1" ht="20.100000000000001" customHeight="1" x14ac:dyDescent="0.25">
      <c r="A5" s="15" t="s">
        <v>11</v>
      </c>
      <c r="B5" s="2"/>
      <c r="C5" s="3"/>
      <c r="D5" s="74">
        <v>1997</v>
      </c>
      <c r="E5" s="74">
        <v>1998</v>
      </c>
      <c r="F5" s="74">
        <v>1999</v>
      </c>
      <c r="G5" s="74">
        <v>2000</v>
      </c>
      <c r="H5" s="74">
        <v>2001</v>
      </c>
      <c r="I5" s="74">
        <v>2002</v>
      </c>
      <c r="J5" s="74">
        <v>2003</v>
      </c>
      <c r="K5" s="74">
        <v>2004</v>
      </c>
      <c r="L5" s="74">
        <v>2005</v>
      </c>
      <c r="M5" s="74">
        <v>2006</v>
      </c>
      <c r="N5" s="74">
        <v>2007</v>
      </c>
      <c r="O5" s="74">
        <v>2008</v>
      </c>
      <c r="P5" s="74">
        <v>2009</v>
      </c>
      <c r="Q5" s="74">
        <v>2010</v>
      </c>
      <c r="R5" s="74">
        <v>2011</v>
      </c>
      <c r="S5" s="74">
        <v>2012</v>
      </c>
      <c r="T5" s="204">
        <v>2013</v>
      </c>
      <c r="U5" s="204">
        <v>2014</v>
      </c>
      <c r="V5" s="204">
        <v>2015</v>
      </c>
      <c r="W5" s="204">
        <v>2016</v>
      </c>
      <c r="X5" s="204">
        <v>2017</v>
      </c>
      <c r="Y5" s="204">
        <v>2018</v>
      </c>
      <c r="Z5" s="204">
        <v>2019</v>
      </c>
      <c r="AA5" s="204">
        <v>2020</v>
      </c>
      <c r="AB5" s="204">
        <v>2021</v>
      </c>
      <c r="AC5" s="204">
        <v>2022</v>
      </c>
      <c r="AD5" s="204">
        <v>2023</v>
      </c>
    </row>
    <row r="6" spans="1:30" ht="20.100000000000001" customHeight="1" x14ac:dyDescent="0.2">
      <c r="A6" s="7" t="s">
        <v>13</v>
      </c>
      <c r="B6" s="8"/>
      <c r="C6" s="9"/>
      <c r="D6" s="6">
        <v>19991</v>
      </c>
      <c r="E6" s="6">
        <v>19737</v>
      </c>
      <c r="F6" s="6">
        <v>25021</v>
      </c>
      <c r="G6" s="6">
        <v>20716</v>
      </c>
      <c r="H6" s="6">
        <v>19491</v>
      </c>
      <c r="I6" s="6">
        <f>20669+84.5+132.5+50.8+140.2</f>
        <v>21077</v>
      </c>
      <c r="J6" s="6">
        <f>16717.6+92.6+76.3+393.6+105.2+52.7</f>
        <v>17437.999999999996</v>
      </c>
      <c r="K6" s="6">
        <v>17325</v>
      </c>
      <c r="L6" s="6">
        <v>20085</v>
      </c>
      <c r="M6" s="5">
        <v>15275</v>
      </c>
      <c r="N6" s="5">
        <v>12667</v>
      </c>
      <c r="O6" s="5">
        <v>13950</v>
      </c>
      <c r="P6" s="5">
        <v>13778</v>
      </c>
      <c r="Q6" s="5">
        <v>12803</v>
      </c>
      <c r="R6" s="133">
        <v>14571</v>
      </c>
      <c r="S6" s="147">
        <v>17487</v>
      </c>
      <c r="T6" s="212">
        <v>17093</v>
      </c>
      <c r="U6" s="212">
        <v>13860</v>
      </c>
      <c r="V6" s="212">
        <v>13414</v>
      </c>
      <c r="W6" s="212">
        <v>12884</v>
      </c>
      <c r="X6" s="211">
        <v>12716</v>
      </c>
      <c r="Y6" s="211">
        <v>14881</v>
      </c>
      <c r="Z6" s="211">
        <v>13161</v>
      </c>
      <c r="AA6" s="211">
        <v>13083</v>
      </c>
      <c r="AB6" s="211">
        <v>12889</v>
      </c>
      <c r="AC6" s="211">
        <f>1491.53+11927.78</f>
        <v>13419.310000000001</v>
      </c>
      <c r="AD6" s="211"/>
    </row>
    <row r="7" spans="1:30" ht="20.100000000000001" customHeight="1" x14ac:dyDescent="0.2">
      <c r="A7" s="7" t="s">
        <v>14</v>
      </c>
      <c r="B7" s="8"/>
      <c r="C7" s="9"/>
      <c r="D7" s="6">
        <v>248</v>
      </c>
      <c r="E7" s="6">
        <v>520</v>
      </c>
      <c r="F7" s="6">
        <v>381</v>
      </c>
      <c r="G7" s="6">
        <v>376</v>
      </c>
      <c r="H7" s="6">
        <v>220</v>
      </c>
      <c r="I7" s="6">
        <v>205</v>
      </c>
      <c r="J7" s="6">
        <v>133.1</v>
      </c>
      <c r="K7" s="6">
        <v>130</v>
      </c>
      <c r="L7" s="5">
        <v>173</v>
      </c>
      <c r="M7" s="5">
        <v>174</v>
      </c>
      <c r="N7" s="5">
        <v>291</v>
      </c>
      <c r="O7" s="5">
        <v>356</v>
      </c>
      <c r="P7" s="5">
        <v>702</v>
      </c>
      <c r="Q7" s="5">
        <v>443</v>
      </c>
      <c r="R7" s="133">
        <v>675</v>
      </c>
      <c r="S7" s="147">
        <v>613</v>
      </c>
      <c r="T7" s="212">
        <v>605</v>
      </c>
      <c r="U7" s="212">
        <v>550</v>
      </c>
      <c r="V7" s="212">
        <v>453</v>
      </c>
      <c r="W7" s="212">
        <v>698</v>
      </c>
      <c r="X7" s="211">
        <v>519.9</v>
      </c>
      <c r="Y7" s="211">
        <v>522</v>
      </c>
      <c r="Z7" s="211">
        <v>714</v>
      </c>
      <c r="AA7" s="211">
        <v>639</v>
      </c>
      <c r="AB7" s="211">
        <v>716</v>
      </c>
      <c r="AC7" s="211">
        <f>480.1+272.01</f>
        <v>752.11</v>
      </c>
      <c r="AD7" s="211"/>
    </row>
    <row r="8" spans="1:30" ht="20.100000000000001" customHeight="1" x14ac:dyDescent="0.2">
      <c r="A8" s="7" t="s">
        <v>58</v>
      </c>
      <c r="B8" s="8"/>
      <c r="C8" s="9"/>
      <c r="D8" s="6">
        <v>13974</v>
      </c>
      <c r="E8" s="6">
        <v>14000</v>
      </c>
      <c r="F8" s="6">
        <v>17344</v>
      </c>
      <c r="G8" s="6">
        <v>14973</v>
      </c>
      <c r="H8" s="6">
        <v>14493</v>
      </c>
      <c r="I8" s="6">
        <f>14680+22.8+78.6+364.4+513.5+35.7+4</f>
        <v>15699</v>
      </c>
      <c r="J8" s="6">
        <f>349.9+13665.2+27.7+211.2+440.2+446.4</f>
        <v>15140.600000000002</v>
      </c>
      <c r="K8" s="6">
        <v>10062</v>
      </c>
      <c r="L8" s="6">
        <v>9111</v>
      </c>
      <c r="M8" s="5">
        <v>8107</v>
      </c>
      <c r="N8" s="5">
        <v>9331</v>
      </c>
      <c r="O8" s="5">
        <v>8373</v>
      </c>
      <c r="P8" s="5">
        <v>8315</v>
      </c>
      <c r="Q8" s="5">
        <v>7751</v>
      </c>
      <c r="R8" s="133">
        <v>7696</v>
      </c>
      <c r="S8" s="147">
        <v>9867</v>
      </c>
      <c r="T8" s="212">
        <v>9976</v>
      </c>
      <c r="U8" s="212">
        <v>7167</v>
      </c>
      <c r="V8" s="212">
        <v>7242</v>
      </c>
      <c r="W8" s="212">
        <v>7209</v>
      </c>
      <c r="X8" s="211">
        <v>6649</v>
      </c>
      <c r="Y8" s="211">
        <v>7035</v>
      </c>
      <c r="Z8" s="211">
        <v>6881</v>
      </c>
      <c r="AA8" s="211">
        <v>8185</v>
      </c>
      <c r="AB8" s="211">
        <v>8654</v>
      </c>
      <c r="AC8" s="211">
        <v>7963</v>
      </c>
      <c r="AD8" s="211"/>
    </row>
    <row r="9" spans="1:30" ht="20.100000000000001" customHeight="1" x14ac:dyDescent="0.2">
      <c r="A9" s="7" t="s">
        <v>16</v>
      </c>
      <c r="B9" s="8"/>
      <c r="C9" s="9"/>
      <c r="D9" s="6">
        <v>1582</v>
      </c>
      <c r="E9" s="6">
        <v>1344</v>
      </c>
      <c r="F9" s="6">
        <v>1388</v>
      </c>
      <c r="G9" s="6">
        <v>1687</v>
      </c>
      <c r="H9" s="6">
        <v>1633</v>
      </c>
      <c r="I9" s="6">
        <f>1500+112.2+77.5</f>
        <v>1689.7</v>
      </c>
      <c r="J9" s="6">
        <f>1472.8+270.1+4.5+27.1</f>
        <v>1774.5</v>
      </c>
      <c r="K9" s="6">
        <v>1334</v>
      </c>
      <c r="L9" s="6">
        <v>1069</v>
      </c>
      <c r="M9" s="5">
        <v>941</v>
      </c>
      <c r="N9" s="5">
        <v>1372</v>
      </c>
      <c r="O9" s="5">
        <v>1247</v>
      </c>
      <c r="P9" s="5">
        <v>1450</v>
      </c>
      <c r="Q9" s="5">
        <v>859</v>
      </c>
      <c r="R9" s="133">
        <v>770</v>
      </c>
      <c r="S9" s="147">
        <v>688</v>
      </c>
      <c r="T9" s="212">
        <v>439</v>
      </c>
      <c r="U9" s="212">
        <v>462</v>
      </c>
      <c r="V9" s="212">
        <v>262</v>
      </c>
      <c r="W9" s="212">
        <v>132</v>
      </c>
      <c r="X9" s="211">
        <v>202.7</v>
      </c>
      <c r="Y9" s="211">
        <v>279</v>
      </c>
      <c r="Z9" s="211">
        <v>441</v>
      </c>
      <c r="AA9" s="211">
        <v>459</v>
      </c>
      <c r="AB9" s="211">
        <v>423</v>
      </c>
      <c r="AC9" s="211">
        <v>345</v>
      </c>
      <c r="AD9" s="211"/>
    </row>
    <row r="10" spans="1:30" ht="20.100000000000001" customHeight="1" x14ac:dyDescent="0.2">
      <c r="A10" s="7" t="s">
        <v>17</v>
      </c>
      <c r="B10" s="8"/>
      <c r="C10" s="9"/>
      <c r="D10" s="6">
        <v>3155</v>
      </c>
      <c r="E10" s="6">
        <v>3141</v>
      </c>
      <c r="F10" s="6">
        <v>2328</v>
      </c>
      <c r="G10" s="6">
        <v>2574</v>
      </c>
      <c r="H10" s="6">
        <v>2629</v>
      </c>
      <c r="I10" s="6">
        <f>2134+150+23.8+30.6</f>
        <v>2338.4</v>
      </c>
      <c r="J10" s="6">
        <f>2469.7+146.3+129.5+45.2</f>
        <v>2790.7</v>
      </c>
      <c r="K10" s="6">
        <v>2430</v>
      </c>
      <c r="L10" s="6">
        <v>2915</v>
      </c>
      <c r="M10" s="5">
        <v>2563</v>
      </c>
      <c r="N10" s="5">
        <v>2867</v>
      </c>
      <c r="O10" s="5">
        <v>2538</v>
      </c>
      <c r="P10" s="5">
        <v>2610</v>
      </c>
      <c r="Q10" s="5">
        <v>1943</v>
      </c>
      <c r="R10" s="133">
        <v>1780</v>
      </c>
      <c r="S10" s="147">
        <v>1939</v>
      </c>
      <c r="T10" s="212">
        <v>1886</v>
      </c>
      <c r="U10" s="212">
        <v>2387</v>
      </c>
      <c r="V10" s="212">
        <v>1940</v>
      </c>
      <c r="W10" s="212">
        <v>1412</v>
      </c>
      <c r="X10" s="211">
        <v>1143.7</v>
      </c>
      <c r="Y10" s="211">
        <v>1179</v>
      </c>
      <c r="Z10" s="211">
        <v>1588</v>
      </c>
      <c r="AA10" s="211">
        <v>1421</v>
      </c>
      <c r="AB10" s="211">
        <v>1687</v>
      </c>
      <c r="AC10" s="211">
        <f>954+218.9</f>
        <v>1172.9000000000001</v>
      </c>
      <c r="AD10" s="211"/>
    </row>
    <row r="11" spans="1:30" ht="20.100000000000001" customHeight="1" x14ac:dyDescent="0.2">
      <c r="A11" s="7" t="s">
        <v>59</v>
      </c>
      <c r="B11" s="8"/>
      <c r="C11" s="9"/>
      <c r="D11" s="6"/>
      <c r="E11" s="6"/>
      <c r="F11" s="6"/>
      <c r="G11" s="6"/>
      <c r="H11" s="6"/>
      <c r="I11" s="6"/>
      <c r="J11" s="6">
        <v>8</v>
      </c>
      <c r="K11" s="6">
        <v>31</v>
      </c>
      <c r="L11" s="5">
        <v>120</v>
      </c>
      <c r="M11" s="5">
        <v>64</v>
      </c>
      <c r="N11" s="5">
        <v>119</v>
      </c>
      <c r="O11" s="5">
        <v>51</v>
      </c>
      <c r="P11" s="5">
        <v>15</v>
      </c>
      <c r="Q11" s="5">
        <v>7</v>
      </c>
      <c r="R11" s="133">
        <v>36</v>
      </c>
      <c r="S11" s="147">
        <v>20</v>
      </c>
      <c r="T11" s="212">
        <v>1</v>
      </c>
      <c r="U11" s="212"/>
      <c r="V11" s="212">
        <v>79</v>
      </c>
      <c r="W11" s="212">
        <v>187</v>
      </c>
      <c r="X11" s="211">
        <v>257.3</v>
      </c>
      <c r="Y11" s="211">
        <v>315</v>
      </c>
      <c r="Z11" s="211">
        <v>243</v>
      </c>
      <c r="AA11" s="211">
        <v>239</v>
      </c>
      <c r="AB11" s="211">
        <v>228</v>
      </c>
      <c r="AC11" s="211">
        <f>8+98</f>
        <v>106</v>
      </c>
      <c r="AD11" s="211"/>
    </row>
    <row r="12" spans="1:30" ht="20.100000000000001" customHeight="1" x14ac:dyDescent="0.2">
      <c r="A12" s="7" t="s">
        <v>19</v>
      </c>
      <c r="B12" s="8"/>
      <c r="C12" s="9"/>
      <c r="D12" s="6">
        <v>2579</v>
      </c>
      <c r="E12" s="6">
        <v>2676</v>
      </c>
      <c r="F12" s="6">
        <v>4441</v>
      </c>
      <c r="G12" s="6"/>
      <c r="H12" s="6"/>
      <c r="I12" s="6">
        <f>3986+604.3+17.6</f>
        <v>4607.9000000000005</v>
      </c>
      <c r="J12" s="6">
        <f>3661.7+751+6.4</f>
        <v>4419.0999999999995</v>
      </c>
      <c r="K12" s="6">
        <v>3332</v>
      </c>
      <c r="L12" s="6">
        <v>3847</v>
      </c>
      <c r="M12" s="5">
        <v>2929</v>
      </c>
      <c r="N12" s="5">
        <v>2424</v>
      </c>
      <c r="O12" s="5">
        <v>2352</v>
      </c>
      <c r="P12" s="5">
        <v>2505</v>
      </c>
      <c r="Q12" s="5">
        <v>3197</v>
      </c>
      <c r="R12" s="133">
        <v>3144</v>
      </c>
      <c r="S12" s="147">
        <v>4669</v>
      </c>
      <c r="T12" s="212">
        <v>5347</v>
      </c>
      <c r="U12" s="212">
        <v>3346</v>
      </c>
      <c r="V12" s="212">
        <v>2589</v>
      </c>
      <c r="W12" s="212">
        <v>2951</v>
      </c>
      <c r="X12" s="211">
        <v>3433.9</v>
      </c>
      <c r="Y12" s="211">
        <v>3951</v>
      </c>
      <c r="Z12" s="211">
        <v>2197</v>
      </c>
      <c r="AA12" s="211">
        <v>2319</v>
      </c>
      <c r="AB12" s="211">
        <v>2361</v>
      </c>
      <c r="AC12" s="211">
        <v>2589</v>
      </c>
      <c r="AD12" s="211"/>
    </row>
    <row r="13" spans="1:30" ht="20.100000000000001" customHeight="1" x14ac:dyDescent="0.2">
      <c r="A13" s="7" t="s">
        <v>20</v>
      </c>
      <c r="B13" s="8"/>
      <c r="C13" s="9"/>
      <c r="D13" s="6">
        <v>12688</v>
      </c>
      <c r="E13" s="6">
        <v>14577</v>
      </c>
      <c r="F13" s="6">
        <v>14184</v>
      </c>
      <c r="G13" s="6">
        <v>18031</v>
      </c>
      <c r="H13" s="6">
        <v>16711</v>
      </c>
      <c r="I13" s="6">
        <f>15497+47+38.9+527.7</f>
        <v>16110.6</v>
      </c>
      <c r="J13" s="6">
        <f>15791.3+35.5+912.7</f>
        <v>16739.5</v>
      </c>
      <c r="K13" s="6">
        <v>15973</v>
      </c>
      <c r="L13" s="6">
        <v>16033</v>
      </c>
      <c r="M13" s="5">
        <v>14234</v>
      </c>
      <c r="N13" s="5">
        <v>12615</v>
      </c>
      <c r="O13" s="5">
        <v>12026</v>
      </c>
      <c r="P13" s="5">
        <v>12630</v>
      </c>
      <c r="Q13" s="5">
        <v>10827</v>
      </c>
      <c r="R13" s="133">
        <v>12701</v>
      </c>
      <c r="S13" s="147">
        <v>12775</v>
      </c>
      <c r="T13" s="212">
        <v>10759</v>
      </c>
      <c r="U13" s="212">
        <v>15056</v>
      </c>
      <c r="V13" s="212">
        <v>13707</v>
      </c>
      <c r="W13" s="212">
        <v>14106</v>
      </c>
      <c r="X13" s="211">
        <v>12883.4</v>
      </c>
      <c r="Y13" s="211">
        <v>12003</v>
      </c>
      <c r="Z13" s="211">
        <v>14216</v>
      </c>
      <c r="AA13" s="211">
        <v>14278</v>
      </c>
      <c r="AB13" s="211">
        <v>13801</v>
      </c>
      <c r="AC13" s="211">
        <v>13430</v>
      </c>
      <c r="AD13" s="211"/>
    </row>
    <row r="14" spans="1:30" ht="20.100000000000001" customHeight="1" x14ac:dyDescent="0.2">
      <c r="A14" s="7" t="s">
        <v>22</v>
      </c>
      <c r="B14" s="8"/>
      <c r="C14" s="9"/>
      <c r="D14" s="6"/>
      <c r="E14" s="6"/>
      <c r="F14" s="6"/>
      <c r="G14" s="6"/>
      <c r="H14" s="6"/>
      <c r="I14" s="6"/>
      <c r="J14" s="6"/>
      <c r="K14" s="6"/>
      <c r="L14" s="5"/>
      <c r="M14" s="5"/>
      <c r="N14" s="5"/>
      <c r="O14" s="5"/>
      <c r="P14" s="5"/>
      <c r="Q14" s="5"/>
      <c r="R14" s="133"/>
      <c r="S14" s="147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</row>
    <row r="15" spans="1:30" ht="20.100000000000001" customHeight="1" x14ac:dyDescent="0.2">
      <c r="A15" s="7" t="s">
        <v>23</v>
      </c>
      <c r="B15" s="8"/>
      <c r="C15" s="9"/>
      <c r="D15" s="6"/>
      <c r="E15" s="6"/>
      <c r="F15" s="6"/>
      <c r="G15" s="6"/>
      <c r="H15" s="6"/>
      <c r="I15" s="6"/>
      <c r="J15" s="6"/>
      <c r="K15" s="6"/>
      <c r="L15" s="5"/>
      <c r="M15" s="5"/>
      <c r="N15" s="5"/>
      <c r="O15" s="5"/>
      <c r="P15" s="5"/>
      <c r="Q15" s="5"/>
      <c r="R15" s="133"/>
      <c r="S15" s="147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</row>
    <row r="16" spans="1:30" ht="20.100000000000001" customHeight="1" x14ac:dyDescent="0.2">
      <c r="A16" s="256" t="s">
        <v>24</v>
      </c>
      <c r="B16" s="257"/>
      <c r="C16" s="258"/>
      <c r="D16" s="79">
        <f>SUM(D6:D15)</f>
        <v>54217</v>
      </c>
      <c r="E16" s="79">
        <f>SUM(E6:E15)</f>
        <v>55995</v>
      </c>
      <c r="F16" s="79">
        <f>SUM(F6:F15)</f>
        <v>65087</v>
      </c>
      <c r="G16" s="79">
        <f t="shared" ref="G16:M16" si="0">SUM(G6:G15)</f>
        <v>58357</v>
      </c>
      <c r="H16" s="79">
        <f t="shared" si="0"/>
        <v>55177</v>
      </c>
      <c r="I16" s="79">
        <f t="shared" si="0"/>
        <v>61727.6</v>
      </c>
      <c r="J16" s="79">
        <f t="shared" si="0"/>
        <v>58443.499999999993</v>
      </c>
      <c r="K16" s="79">
        <f t="shared" si="0"/>
        <v>50617</v>
      </c>
      <c r="L16" s="79">
        <f t="shared" si="0"/>
        <v>53353</v>
      </c>
      <c r="M16" s="79">
        <f t="shared" si="0"/>
        <v>44287</v>
      </c>
      <c r="N16" s="79">
        <f t="shared" ref="N16:AC16" si="1">SUM(N6:N15)</f>
        <v>41686</v>
      </c>
      <c r="O16" s="79">
        <f t="shared" si="1"/>
        <v>40893</v>
      </c>
      <c r="P16" s="79">
        <f t="shared" si="1"/>
        <v>42005</v>
      </c>
      <c r="Q16" s="79">
        <f t="shared" si="1"/>
        <v>37830</v>
      </c>
      <c r="R16" s="79">
        <f t="shared" si="1"/>
        <v>41373</v>
      </c>
      <c r="S16" s="79">
        <f t="shared" si="1"/>
        <v>48058</v>
      </c>
      <c r="T16" s="79">
        <f t="shared" si="1"/>
        <v>46106</v>
      </c>
      <c r="U16" s="79">
        <f t="shared" si="1"/>
        <v>42828</v>
      </c>
      <c r="V16" s="79">
        <f t="shared" si="1"/>
        <v>39686</v>
      </c>
      <c r="W16" s="79">
        <f t="shared" si="1"/>
        <v>39579</v>
      </c>
      <c r="X16" s="79">
        <f t="shared" si="1"/>
        <v>37805.9</v>
      </c>
      <c r="Y16" s="79">
        <f t="shared" si="1"/>
        <v>40165</v>
      </c>
      <c r="Z16" s="79">
        <f t="shared" si="1"/>
        <v>39441</v>
      </c>
      <c r="AA16" s="79">
        <f t="shared" si="1"/>
        <v>40623</v>
      </c>
      <c r="AB16" s="79">
        <f t="shared" si="1"/>
        <v>40759</v>
      </c>
      <c r="AC16" s="79">
        <f t="shared" si="1"/>
        <v>39777.320000000007</v>
      </c>
      <c r="AD16" s="79">
        <f t="shared" ref="AD16" si="2">SUM(AD6:AD15)</f>
        <v>0</v>
      </c>
    </row>
    <row r="17" spans="1:30" ht="20.100000000000001" customHeight="1" x14ac:dyDescent="0.2">
      <c r="A17" s="7" t="s">
        <v>25</v>
      </c>
      <c r="B17" s="8"/>
      <c r="C17" s="9"/>
      <c r="D17" s="6">
        <v>110</v>
      </c>
      <c r="E17" s="6">
        <v>140</v>
      </c>
      <c r="F17" s="6">
        <v>113</v>
      </c>
      <c r="G17" s="6">
        <v>117</v>
      </c>
      <c r="H17" s="6">
        <v>87</v>
      </c>
      <c r="I17" s="6">
        <v>118</v>
      </c>
      <c r="J17" s="6">
        <v>116</v>
      </c>
      <c r="K17" s="6">
        <v>118</v>
      </c>
      <c r="L17" s="5">
        <v>104</v>
      </c>
      <c r="M17" s="6">
        <v>57</v>
      </c>
      <c r="N17" s="5">
        <v>35</v>
      </c>
      <c r="O17" s="5">
        <v>131</v>
      </c>
      <c r="P17" s="5">
        <v>166</v>
      </c>
      <c r="Q17" s="5">
        <v>183</v>
      </c>
      <c r="R17" s="133">
        <v>118</v>
      </c>
      <c r="S17" s="147">
        <v>148</v>
      </c>
      <c r="T17" s="212">
        <v>159</v>
      </c>
      <c r="U17" s="212">
        <v>135</v>
      </c>
      <c r="V17" s="214">
        <v>127</v>
      </c>
      <c r="W17" s="213">
        <v>235.8</v>
      </c>
      <c r="X17" s="213">
        <v>333.4</v>
      </c>
      <c r="Y17" s="214">
        <v>410</v>
      </c>
      <c r="Z17" s="213">
        <v>832</v>
      </c>
      <c r="AA17" s="213">
        <v>1108</v>
      </c>
      <c r="AB17" s="213">
        <v>850</v>
      </c>
      <c r="AC17" s="213">
        <v>571</v>
      </c>
      <c r="AD17" s="213">
        <v>133</v>
      </c>
    </row>
    <row r="18" spans="1:30" ht="20.100000000000001" customHeight="1" x14ac:dyDescent="0.2">
      <c r="A18" s="7" t="s">
        <v>26</v>
      </c>
      <c r="B18" s="8"/>
      <c r="C18" s="9"/>
      <c r="D18" s="6">
        <v>3440</v>
      </c>
      <c r="E18" s="6">
        <v>3584</v>
      </c>
      <c r="F18" s="6">
        <v>3197</v>
      </c>
      <c r="G18" s="6">
        <v>3334</v>
      </c>
      <c r="H18" s="6">
        <v>3972</v>
      </c>
      <c r="I18" s="6">
        <v>4435</v>
      </c>
      <c r="J18" s="6">
        <f>4314+200.1+63.7+18</f>
        <v>4595.8</v>
      </c>
      <c r="K18" s="6">
        <v>4675</v>
      </c>
      <c r="L18" s="6">
        <v>4167</v>
      </c>
      <c r="M18" s="6">
        <v>4881</v>
      </c>
      <c r="N18" s="5">
        <v>3922</v>
      </c>
      <c r="O18" s="5">
        <v>4045</v>
      </c>
      <c r="P18" s="5">
        <v>3752</v>
      </c>
      <c r="Q18" s="5">
        <v>4028</v>
      </c>
      <c r="R18" s="133">
        <v>4240</v>
      </c>
      <c r="S18" s="147">
        <v>3970</v>
      </c>
      <c r="T18" s="212">
        <v>3981</v>
      </c>
      <c r="U18" s="212">
        <v>4660</v>
      </c>
      <c r="V18" s="214">
        <v>4805</v>
      </c>
      <c r="W18" s="213">
        <v>5290.8</v>
      </c>
      <c r="X18" s="213">
        <v>4478.5</v>
      </c>
      <c r="Y18" s="214">
        <v>3706</v>
      </c>
      <c r="Z18" s="213">
        <v>3632</v>
      </c>
      <c r="AA18" s="213">
        <v>4000</v>
      </c>
      <c r="AB18" s="213">
        <v>4103</v>
      </c>
      <c r="AC18" s="213">
        <v>4744</v>
      </c>
      <c r="AD18" s="213">
        <v>4725</v>
      </c>
    </row>
    <row r="19" spans="1:30" ht="20.100000000000001" customHeight="1" x14ac:dyDescent="0.2">
      <c r="A19" s="25" t="s">
        <v>27</v>
      </c>
      <c r="B19" s="8"/>
      <c r="C19" s="9"/>
      <c r="D19" s="6">
        <v>334</v>
      </c>
      <c r="E19" s="6">
        <v>302</v>
      </c>
      <c r="F19" s="6">
        <v>248</v>
      </c>
      <c r="G19" s="6">
        <v>251</v>
      </c>
      <c r="H19" s="6">
        <v>284</v>
      </c>
      <c r="I19" s="6">
        <v>542</v>
      </c>
      <c r="J19" s="6">
        <v>713</v>
      </c>
      <c r="K19" s="6">
        <v>630</v>
      </c>
      <c r="L19" s="5">
        <v>568</v>
      </c>
      <c r="M19" s="6">
        <v>502</v>
      </c>
      <c r="N19" s="5">
        <v>525</v>
      </c>
      <c r="O19" s="5">
        <v>457</v>
      </c>
      <c r="P19" s="5">
        <v>410</v>
      </c>
      <c r="Q19" s="5">
        <v>387</v>
      </c>
      <c r="R19" s="133">
        <v>444</v>
      </c>
      <c r="S19" s="147">
        <v>408</v>
      </c>
      <c r="T19" s="212">
        <v>335</v>
      </c>
      <c r="U19" s="212">
        <v>348</v>
      </c>
      <c r="V19" s="214">
        <v>253</v>
      </c>
      <c r="W19" s="213">
        <v>228.3</v>
      </c>
      <c r="X19" s="213">
        <v>328.8</v>
      </c>
      <c r="Y19" s="214">
        <v>447</v>
      </c>
      <c r="Z19" s="213">
        <v>470</v>
      </c>
      <c r="AA19" s="213">
        <v>383</v>
      </c>
      <c r="AB19" s="213">
        <v>403</v>
      </c>
      <c r="AC19" s="213">
        <v>409</v>
      </c>
      <c r="AD19" s="213">
        <v>379</v>
      </c>
    </row>
    <row r="20" spans="1:30" ht="20.100000000000001" customHeight="1" x14ac:dyDescent="0.2">
      <c r="A20" s="7" t="s">
        <v>28</v>
      </c>
      <c r="B20" s="8"/>
      <c r="C20" s="9"/>
      <c r="D20" s="6">
        <v>783</v>
      </c>
      <c r="E20" s="6">
        <v>818</v>
      </c>
      <c r="F20" s="6">
        <v>943</v>
      </c>
      <c r="G20" s="6">
        <v>1011</v>
      </c>
      <c r="H20" s="6">
        <v>1256</v>
      </c>
      <c r="I20" s="6">
        <v>1533</v>
      </c>
      <c r="J20" s="6">
        <v>1410</v>
      </c>
      <c r="K20" s="6">
        <v>1249</v>
      </c>
      <c r="L20" s="6">
        <v>1317</v>
      </c>
      <c r="M20" s="6">
        <v>1585</v>
      </c>
      <c r="N20" s="5">
        <v>1672</v>
      </c>
      <c r="O20" s="5">
        <v>1736</v>
      </c>
      <c r="P20" s="5">
        <v>1911</v>
      </c>
      <c r="Q20" s="5">
        <v>1964</v>
      </c>
      <c r="R20" s="133">
        <v>1779</v>
      </c>
      <c r="S20" s="147">
        <v>1624</v>
      </c>
      <c r="T20" s="212">
        <v>1766</v>
      </c>
      <c r="U20" s="212">
        <v>1693</v>
      </c>
      <c r="V20" s="214">
        <v>1973</v>
      </c>
      <c r="W20" s="213">
        <v>1876.7</v>
      </c>
      <c r="X20" s="213">
        <v>2436.1999999999998</v>
      </c>
      <c r="Y20" s="214">
        <v>2956</v>
      </c>
      <c r="Z20" s="213">
        <v>2586</v>
      </c>
      <c r="AA20" s="213">
        <v>3333</v>
      </c>
      <c r="AB20" s="213">
        <v>3573</v>
      </c>
      <c r="AC20" s="213">
        <v>3507</v>
      </c>
      <c r="AD20" s="213">
        <v>3133</v>
      </c>
    </row>
    <row r="21" spans="1:30" ht="20.100000000000001" customHeight="1" x14ac:dyDescent="0.2">
      <c r="A21" s="7" t="s">
        <v>29</v>
      </c>
      <c r="B21" s="8"/>
      <c r="C21" s="9"/>
      <c r="D21" s="6"/>
      <c r="E21" s="6"/>
      <c r="F21" s="6">
        <v>5</v>
      </c>
      <c r="G21" s="6">
        <v>5</v>
      </c>
      <c r="H21" s="6">
        <v>10</v>
      </c>
      <c r="I21" s="6">
        <v>42</v>
      </c>
      <c r="J21" s="6">
        <v>30</v>
      </c>
      <c r="K21" s="6">
        <v>37</v>
      </c>
      <c r="L21" s="5">
        <v>38</v>
      </c>
      <c r="M21" s="6">
        <v>10</v>
      </c>
      <c r="N21" s="5">
        <v>15</v>
      </c>
      <c r="O21" s="5">
        <v>13</v>
      </c>
      <c r="P21" s="5">
        <v>14</v>
      </c>
      <c r="Q21" s="5">
        <v>16</v>
      </c>
      <c r="R21" s="133">
        <v>10</v>
      </c>
      <c r="S21" s="147">
        <v>6</v>
      </c>
      <c r="T21" s="212"/>
      <c r="U21" s="212"/>
      <c r="V21" s="214"/>
      <c r="W21" s="213"/>
      <c r="X21" s="213"/>
      <c r="Y21" s="214"/>
      <c r="Z21" s="213"/>
      <c r="AA21" s="213"/>
      <c r="AB21" s="213">
        <v>16</v>
      </c>
      <c r="AC21" s="213">
        <v>31</v>
      </c>
      <c r="AD21" s="213">
        <v>13</v>
      </c>
    </row>
    <row r="22" spans="1:30" ht="20.100000000000001" customHeight="1" x14ac:dyDescent="0.2">
      <c r="A22" s="120" t="s">
        <v>30</v>
      </c>
      <c r="B22" s="8"/>
      <c r="C22" s="9"/>
      <c r="D22" s="6">
        <v>1276</v>
      </c>
      <c r="E22" s="6">
        <v>1245</v>
      </c>
      <c r="F22" s="6">
        <v>1358</v>
      </c>
      <c r="G22" s="6">
        <v>1950</v>
      </c>
      <c r="H22" s="6">
        <v>2126</v>
      </c>
      <c r="I22" s="6">
        <v>2211</v>
      </c>
      <c r="J22" s="6">
        <f>1756+47+10+38.5</f>
        <v>1851.5</v>
      </c>
      <c r="K22" s="6">
        <v>1560</v>
      </c>
      <c r="L22" s="6">
        <v>1774</v>
      </c>
      <c r="M22" s="6">
        <v>2221</v>
      </c>
      <c r="N22" s="5">
        <v>2009</v>
      </c>
      <c r="O22" s="5">
        <v>1671</v>
      </c>
      <c r="P22" s="5">
        <v>1521</v>
      </c>
      <c r="Q22" s="5">
        <v>1466</v>
      </c>
      <c r="R22" s="133">
        <v>1329</v>
      </c>
      <c r="S22" s="147">
        <v>1295</v>
      </c>
      <c r="T22" s="212">
        <v>1423</v>
      </c>
      <c r="U22" s="212">
        <v>1527</v>
      </c>
      <c r="V22" s="214">
        <v>1757</v>
      </c>
      <c r="W22" s="213">
        <v>2280.1999999999998</v>
      </c>
      <c r="X22" s="213">
        <v>2346.9</v>
      </c>
      <c r="Y22" s="214">
        <v>2239</v>
      </c>
      <c r="Z22" s="213">
        <v>1768</v>
      </c>
      <c r="AA22" s="213">
        <v>1508</v>
      </c>
      <c r="AB22" s="213">
        <v>1908</v>
      </c>
      <c r="AC22" s="213">
        <v>1889</v>
      </c>
      <c r="AD22" s="213">
        <v>1924</v>
      </c>
    </row>
    <row r="23" spans="1:30" ht="20.100000000000001" customHeight="1" x14ac:dyDescent="0.2">
      <c r="A23" s="120" t="s">
        <v>31</v>
      </c>
      <c r="B23" s="8"/>
      <c r="C23" s="9"/>
      <c r="D23" s="6"/>
      <c r="E23" s="6"/>
      <c r="F23" s="6"/>
      <c r="G23" s="6"/>
      <c r="H23" s="6"/>
      <c r="I23" s="6" t="s">
        <v>32</v>
      </c>
      <c r="J23" s="6">
        <v>25.5</v>
      </c>
      <c r="K23" s="6">
        <v>12</v>
      </c>
      <c r="L23" s="5"/>
      <c r="M23" s="5">
        <v>73</v>
      </c>
      <c r="N23" s="5">
        <v>9</v>
      </c>
      <c r="O23" s="5">
        <v>335</v>
      </c>
      <c r="P23" s="5">
        <v>473</v>
      </c>
      <c r="Q23" s="5">
        <v>619</v>
      </c>
      <c r="R23" s="133">
        <v>757</v>
      </c>
      <c r="S23" s="147">
        <v>811</v>
      </c>
      <c r="T23" s="212">
        <v>755</v>
      </c>
      <c r="U23" s="212">
        <v>583</v>
      </c>
      <c r="V23" s="214">
        <v>666</v>
      </c>
      <c r="W23" s="213">
        <v>861.8</v>
      </c>
      <c r="X23" s="213">
        <v>805.8</v>
      </c>
      <c r="Y23" s="214">
        <v>1181</v>
      </c>
      <c r="Z23" s="213">
        <v>1169</v>
      </c>
      <c r="AA23" s="213">
        <v>1713</v>
      </c>
      <c r="AB23" s="213">
        <v>2158</v>
      </c>
      <c r="AC23" s="213">
        <v>2325</v>
      </c>
      <c r="AD23" s="213">
        <v>2057</v>
      </c>
    </row>
    <row r="24" spans="1:30" ht="20.100000000000001" customHeight="1" x14ac:dyDescent="0.2">
      <c r="A24" s="7" t="s">
        <v>33</v>
      </c>
      <c r="B24" s="8"/>
      <c r="C24" s="9"/>
      <c r="D24" s="6">
        <v>346</v>
      </c>
      <c r="E24" s="6">
        <v>392</v>
      </c>
      <c r="F24" s="6">
        <v>414</v>
      </c>
      <c r="G24" s="6">
        <v>414</v>
      </c>
      <c r="H24" s="6">
        <v>462</v>
      </c>
      <c r="I24" s="6">
        <v>537</v>
      </c>
      <c r="J24" s="6">
        <v>562</v>
      </c>
      <c r="K24" s="6">
        <v>814</v>
      </c>
      <c r="L24" s="5">
        <v>818</v>
      </c>
      <c r="M24" s="6">
        <v>817</v>
      </c>
      <c r="N24" s="5">
        <v>562</v>
      </c>
      <c r="O24" s="5">
        <v>660</v>
      </c>
      <c r="P24" s="5">
        <v>650</v>
      </c>
      <c r="Q24" s="5">
        <v>738</v>
      </c>
      <c r="R24" s="133">
        <v>714</v>
      </c>
      <c r="S24" s="147">
        <v>788</v>
      </c>
      <c r="T24" s="212">
        <v>755</v>
      </c>
      <c r="U24" s="212">
        <v>745</v>
      </c>
      <c r="V24" s="214">
        <v>395</v>
      </c>
      <c r="W24" s="213">
        <v>428.6</v>
      </c>
      <c r="X24" s="213">
        <v>419.1</v>
      </c>
      <c r="Y24" s="214">
        <v>447</v>
      </c>
      <c r="Z24" s="213">
        <v>1087</v>
      </c>
      <c r="AA24" s="213">
        <v>1090</v>
      </c>
      <c r="AB24" s="213">
        <v>1582</v>
      </c>
      <c r="AC24" s="213">
        <v>1129</v>
      </c>
      <c r="AD24" s="213">
        <v>894</v>
      </c>
    </row>
    <row r="25" spans="1:30" ht="20.100000000000001" customHeight="1" x14ac:dyDescent="0.2">
      <c r="A25" s="7" t="s">
        <v>63</v>
      </c>
      <c r="B25" s="8"/>
      <c r="C25" s="9"/>
      <c r="D25" s="6">
        <v>21</v>
      </c>
      <c r="E25" s="6">
        <v>22</v>
      </c>
      <c r="F25" s="6">
        <v>18</v>
      </c>
      <c r="G25" s="6">
        <v>43</v>
      </c>
      <c r="H25" s="6">
        <v>27</v>
      </c>
      <c r="I25" s="6">
        <v>2.6</v>
      </c>
      <c r="J25" s="6">
        <v>0.2</v>
      </c>
      <c r="K25" s="6">
        <v>16</v>
      </c>
      <c r="L25" s="5">
        <v>5</v>
      </c>
      <c r="M25" s="5"/>
      <c r="N25" s="5"/>
      <c r="O25" s="5"/>
      <c r="P25" s="5">
        <v>5</v>
      </c>
      <c r="Q25" s="5"/>
      <c r="R25" s="133"/>
      <c r="S25" s="147"/>
      <c r="T25" s="212"/>
      <c r="U25" s="212"/>
      <c r="V25" s="215"/>
      <c r="W25" s="216"/>
      <c r="X25" s="211">
        <v>32.9</v>
      </c>
      <c r="Y25" s="215"/>
      <c r="Z25" s="211">
        <v>25</v>
      </c>
      <c r="AA25" s="211">
        <v>65</v>
      </c>
      <c r="AB25" s="211">
        <v>37</v>
      </c>
      <c r="AC25" s="211">
        <v>7</v>
      </c>
      <c r="AD25" s="211">
        <v>24</v>
      </c>
    </row>
    <row r="26" spans="1:30" ht="20.100000000000001" customHeight="1" x14ac:dyDescent="0.2">
      <c r="A26" s="7" t="s">
        <v>34</v>
      </c>
      <c r="B26" s="8"/>
      <c r="C26" s="9"/>
      <c r="D26" s="6">
        <v>2</v>
      </c>
      <c r="E26" s="6"/>
      <c r="F26" s="6">
        <v>3</v>
      </c>
      <c r="G26" s="6"/>
      <c r="H26" s="6"/>
      <c r="I26" s="6"/>
      <c r="J26" s="6">
        <v>288</v>
      </c>
      <c r="K26" s="6">
        <v>285</v>
      </c>
      <c r="L26" s="5"/>
      <c r="M26" s="5"/>
      <c r="N26" s="5"/>
      <c r="O26" s="5"/>
      <c r="P26" s="5">
        <v>10</v>
      </c>
      <c r="Q26" s="5">
        <v>4</v>
      </c>
      <c r="R26" s="133">
        <v>4</v>
      </c>
      <c r="S26" s="147"/>
      <c r="T26" s="212"/>
      <c r="U26" s="212"/>
      <c r="V26" s="215"/>
      <c r="W26" s="216"/>
      <c r="X26" s="216"/>
      <c r="Y26" s="212">
        <v>34</v>
      </c>
      <c r="Z26" s="216"/>
      <c r="AA26" s="216"/>
      <c r="AB26" s="216"/>
      <c r="AC26" s="216"/>
      <c r="AD26" s="216"/>
    </row>
    <row r="27" spans="1:30" ht="20.100000000000001" customHeight="1" x14ac:dyDescent="0.2">
      <c r="A27" s="7" t="s">
        <v>35</v>
      </c>
      <c r="B27" s="8"/>
      <c r="C27" s="9"/>
      <c r="D27" s="6">
        <v>1</v>
      </c>
      <c r="E27" s="6"/>
      <c r="F27" s="6"/>
      <c r="G27" s="6"/>
      <c r="H27" s="6">
        <v>16</v>
      </c>
      <c r="I27" s="6">
        <v>17</v>
      </c>
      <c r="J27" s="6">
        <v>17</v>
      </c>
      <c r="K27" s="6"/>
      <c r="L27" s="5"/>
      <c r="M27" s="5">
        <v>135.4</v>
      </c>
      <c r="N27" s="5">
        <v>264</v>
      </c>
      <c r="O27" s="5">
        <v>190</v>
      </c>
      <c r="P27" s="5">
        <f>4+199+25</f>
        <v>228</v>
      </c>
      <c r="Q27" s="5">
        <v>162</v>
      </c>
      <c r="R27" s="133">
        <v>107</v>
      </c>
      <c r="S27" s="147">
        <v>63</v>
      </c>
      <c r="T27" s="212">
        <v>28</v>
      </c>
      <c r="U27" s="212"/>
      <c r="V27" s="215"/>
      <c r="W27" s="211">
        <v>14.2</v>
      </c>
      <c r="X27" s="211">
        <v>52.6</v>
      </c>
      <c r="Y27" s="212">
        <v>20</v>
      </c>
      <c r="Z27" s="211">
        <v>45</v>
      </c>
      <c r="AA27" s="211">
        <v>44</v>
      </c>
      <c r="AB27" s="211">
        <v>18</v>
      </c>
      <c r="AC27" s="211">
        <v>16</v>
      </c>
      <c r="AD27" s="211"/>
    </row>
    <row r="28" spans="1:30" ht="20.100000000000001" customHeight="1" x14ac:dyDescent="0.2">
      <c r="A28" s="256" t="s">
        <v>36</v>
      </c>
      <c r="B28" s="257"/>
      <c r="C28" s="258"/>
      <c r="D28" s="79">
        <f>SUM(D17:D27)</f>
        <v>6313</v>
      </c>
      <c r="E28" s="79">
        <v>6503</v>
      </c>
      <c r="F28" s="79">
        <v>6299</v>
      </c>
      <c r="G28" s="79">
        <v>7125</v>
      </c>
      <c r="H28" s="79">
        <v>8197</v>
      </c>
      <c r="I28" s="79">
        <f t="shared" ref="I28:AC28" si="3">SUM(I17:I27)</f>
        <v>9437.6</v>
      </c>
      <c r="J28" s="79">
        <f t="shared" si="3"/>
        <v>9609</v>
      </c>
      <c r="K28" s="79">
        <f t="shared" si="3"/>
        <v>9396</v>
      </c>
      <c r="L28" s="79">
        <f t="shared" si="3"/>
        <v>8791</v>
      </c>
      <c r="M28" s="79">
        <f t="shared" si="3"/>
        <v>10281.4</v>
      </c>
      <c r="N28" s="79">
        <f t="shared" si="3"/>
        <v>9013</v>
      </c>
      <c r="O28" s="79">
        <f t="shared" si="3"/>
        <v>9238</v>
      </c>
      <c r="P28" s="79">
        <f t="shared" si="3"/>
        <v>9140</v>
      </c>
      <c r="Q28" s="79">
        <f t="shared" si="3"/>
        <v>9567</v>
      </c>
      <c r="R28" s="79">
        <f t="shared" si="3"/>
        <v>9502</v>
      </c>
      <c r="S28" s="79">
        <f t="shared" si="3"/>
        <v>9113</v>
      </c>
      <c r="T28" s="79">
        <f t="shared" si="3"/>
        <v>9202</v>
      </c>
      <c r="U28" s="79">
        <f t="shared" si="3"/>
        <v>9691</v>
      </c>
      <c r="V28" s="79">
        <f t="shared" si="3"/>
        <v>9976</v>
      </c>
      <c r="W28" s="79">
        <f t="shared" si="3"/>
        <v>11216.4</v>
      </c>
      <c r="X28" s="79">
        <f t="shared" si="3"/>
        <v>11234.199999999999</v>
      </c>
      <c r="Y28" s="79">
        <f t="shared" si="3"/>
        <v>11440</v>
      </c>
      <c r="Z28" s="79">
        <f t="shared" si="3"/>
        <v>11614</v>
      </c>
      <c r="AA28" s="79">
        <f t="shared" si="3"/>
        <v>13244</v>
      </c>
      <c r="AB28" s="79">
        <f t="shared" si="3"/>
        <v>14648</v>
      </c>
      <c r="AC28" s="79">
        <f t="shared" si="3"/>
        <v>14628</v>
      </c>
      <c r="AD28" s="79">
        <f t="shared" ref="AD28" si="4">SUM(AD17:AD27)</f>
        <v>13282</v>
      </c>
    </row>
    <row r="29" spans="1:30" ht="20.100000000000001" customHeight="1" x14ac:dyDescent="0.2">
      <c r="A29" s="7" t="s">
        <v>37</v>
      </c>
      <c r="B29" s="8"/>
      <c r="C29" s="9"/>
      <c r="D29" s="6">
        <v>1107</v>
      </c>
      <c r="E29" s="6">
        <v>1400</v>
      </c>
      <c r="F29" s="6">
        <v>1634</v>
      </c>
      <c r="G29" s="6">
        <v>1950</v>
      </c>
      <c r="H29" s="6">
        <v>2234</v>
      </c>
      <c r="I29" s="6">
        <v>2666</v>
      </c>
      <c r="J29" s="6">
        <f>2465+30.5+73.6+5.2+40.6+18.1+157.9</f>
        <v>2790.8999999999996</v>
      </c>
      <c r="K29" s="6">
        <v>2041</v>
      </c>
      <c r="L29" s="6">
        <v>1510</v>
      </c>
      <c r="M29" s="6">
        <v>1719</v>
      </c>
      <c r="N29" s="5">
        <v>2087</v>
      </c>
      <c r="O29" s="5">
        <v>1901</v>
      </c>
      <c r="P29" s="5">
        <v>1998</v>
      </c>
      <c r="Q29" s="5">
        <v>2675</v>
      </c>
      <c r="R29" s="133">
        <v>2683</v>
      </c>
      <c r="S29" s="147">
        <v>2750</v>
      </c>
      <c r="T29" s="212">
        <v>2197</v>
      </c>
      <c r="U29" s="212">
        <v>2331</v>
      </c>
      <c r="V29" s="214">
        <v>2899</v>
      </c>
      <c r="W29" s="213">
        <v>3065.8</v>
      </c>
      <c r="X29" s="214">
        <v>2872</v>
      </c>
      <c r="Y29" s="214">
        <v>2718</v>
      </c>
      <c r="Z29" s="214">
        <v>2614</v>
      </c>
      <c r="AA29" s="214">
        <v>2671</v>
      </c>
      <c r="AB29" s="214">
        <v>2218</v>
      </c>
      <c r="AC29" s="214">
        <v>2121</v>
      </c>
      <c r="AD29" s="214">
        <v>2219</v>
      </c>
    </row>
    <row r="30" spans="1:30" ht="20.100000000000001" customHeight="1" x14ac:dyDescent="0.2">
      <c r="A30" s="10" t="s">
        <v>38</v>
      </c>
      <c r="B30" s="11"/>
      <c r="C30" s="12"/>
      <c r="D30" s="6">
        <v>142</v>
      </c>
      <c r="E30" s="6">
        <v>180</v>
      </c>
      <c r="F30" s="6">
        <v>270</v>
      </c>
      <c r="G30" s="6">
        <v>261</v>
      </c>
      <c r="H30" s="6">
        <v>481</v>
      </c>
      <c r="I30" s="6">
        <v>396</v>
      </c>
      <c r="J30" s="6">
        <f>465.8+9.5+33.9</f>
        <v>509.2</v>
      </c>
      <c r="K30" s="6">
        <v>571</v>
      </c>
      <c r="L30" s="5">
        <v>671</v>
      </c>
      <c r="M30" s="6">
        <v>840</v>
      </c>
      <c r="N30" s="5">
        <v>644</v>
      </c>
      <c r="O30" s="5">
        <v>632</v>
      </c>
      <c r="P30" s="5">
        <v>513</v>
      </c>
      <c r="Q30" s="5">
        <v>622</v>
      </c>
      <c r="R30" s="133">
        <v>684</v>
      </c>
      <c r="S30" s="147">
        <v>735</v>
      </c>
      <c r="T30" s="212">
        <v>700</v>
      </c>
      <c r="U30" s="212">
        <v>726</v>
      </c>
      <c r="V30" s="214">
        <v>1022</v>
      </c>
      <c r="W30" s="214">
        <v>1201</v>
      </c>
      <c r="X30" s="213">
        <v>1645.6</v>
      </c>
      <c r="Y30" s="214">
        <v>1886</v>
      </c>
      <c r="Z30" s="213">
        <v>1246</v>
      </c>
      <c r="AA30" s="213">
        <v>2117</v>
      </c>
      <c r="AB30" s="213">
        <v>2244</v>
      </c>
      <c r="AC30" s="213">
        <v>2343</v>
      </c>
      <c r="AD30" s="213">
        <v>2013</v>
      </c>
    </row>
    <row r="31" spans="1:30" ht="20.100000000000001" customHeight="1" x14ac:dyDescent="0.2">
      <c r="A31" s="7" t="s">
        <v>112</v>
      </c>
      <c r="B31" s="8"/>
      <c r="C31" s="9"/>
      <c r="D31" s="6"/>
      <c r="E31" s="6"/>
      <c r="F31" s="6"/>
      <c r="G31" s="6"/>
      <c r="H31" s="6" t="s">
        <v>32</v>
      </c>
      <c r="I31" s="6">
        <v>65</v>
      </c>
      <c r="J31" s="6">
        <f>95.3+20</f>
        <v>115.3</v>
      </c>
      <c r="K31" s="6">
        <v>101</v>
      </c>
      <c r="L31" s="5">
        <v>121</v>
      </c>
      <c r="M31" s="6">
        <v>116</v>
      </c>
      <c r="N31" s="5">
        <v>120</v>
      </c>
      <c r="O31" s="5">
        <v>143</v>
      </c>
      <c r="P31" s="5">
        <v>169</v>
      </c>
      <c r="Q31" s="5">
        <v>177</v>
      </c>
      <c r="R31" s="134">
        <v>168</v>
      </c>
      <c r="S31" s="148">
        <v>150</v>
      </c>
      <c r="T31" s="211">
        <v>102</v>
      </c>
      <c r="U31" s="211">
        <v>129</v>
      </c>
      <c r="V31" s="211">
        <v>119</v>
      </c>
      <c r="W31" s="211">
        <v>131.4</v>
      </c>
      <c r="X31" s="211">
        <v>125.3</v>
      </c>
      <c r="Y31" s="211">
        <v>226</v>
      </c>
      <c r="Z31" s="211">
        <v>236</v>
      </c>
      <c r="AA31" s="211">
        <v>186</v>
      </c>
      <c r="AB31" s="211">
        <v>152</v>
      </c>
      <c r="AC31" s="211">
        <v>157</v>
      </c>
      <c r="AD31" s="211">
        <v>84</v>
      </c>
    </row>
    <row r="32" spans="1:30" ht="20.100000000000001" customHeight="1" x14ac:dyDescent="0.2">
      <c r="A32" s="10" t="s">
        <v>40</v>
      </c>
      <c r="B32" s="8"/>
      <c r="C32" s="9"/>
      <c r="D32" s="6"/>
      <c r="E32" s="6"/>
      <c r="F32" s="6"/>
      <c r="G32" s="6">
        <v>10</v>
      </c>
      <c r="H32" s="6"/>
      <c r="I32" s="6">
        <v>10</v>
      </c>
      <c r="J32" s="6">
        <v>13</v>
      </c>
      <c r="K32" s="6">
        <v>8</v>
      </c>
      <c r="L32" s="5"/>
      <c r="M32" s="5"/>
      <c r="N32" s="5"/>
      <c r="O32" s="5"/>
      <c r="P32" s="5"/>
      <c r="Q32" s="5"/>
      <c r="R32" s="133"/>
      <c r="S32" s="147"/>
      <c r="T32" s="212"/>
      <c r="U32" s="212"/>
      <c r="V32" s="212"/>
      <c r="W32" s="212"/>
      <c r="X32" s="212"/>
      <c r="Y32" s="212"/>
      <c r="Z32" s="212"/>
      <c r="AA32" s="212"/>
      <c r="AB32" s="212"/>
      <c r="AC32" s="212">
        <v>9</v>
      </c>
      <c r="AD32" s="212"/>
    </row>
    <row r="33" spans="1:30" ht="20.100000000000001" customHeight="1" x14ac:dyDescent="0.2">
      <c r="A33" s="7" t="s">
        <v>41</v>
      </c>
      <c r="B33" s="8"/>
      <c r="C33" s="9"/>
      <c r="D33" s="6">
        <v>46</v>
      </c>
      <c r="E33" s="6">
        <v>44</v>
      </c>
      <c r="F33" s="6">
        <v>99</v>
      </c>
      <c r="G33" s="6">
        <v>179</v>
      </c>
      <c r="H33" s="6"/>
      <c r="I33" s="6">
        <f>361+27.2+52.6</f>
        <v>440.8</v>
      </c>
      <c r="J33" s="6">
        <f>421.3+7+108.8+103.1</f>
        <v>640.20000000000005</v>
      </c>
      <c r="K33" s="6">
        <v>472</v>
      </c>
      <c r="L33" s="5">
        <v>453</v>
      </c>
      <c r="M33" s="5">
        <v>494</v>
      </c>
      <c r="N33" s="5">
        <v>508</v>
      </c>
      <c r="O33" s="5">
        <v>520</v>
      </c>
      <c r="P33" s="5">
        <v>828</v>
      </c>
      <c r="Q33" s="5">
        <v>1248</v>
      </c>
      <c r="R33" s="133">
        <v>1273</v>
      </c>
      <c r="S33" s="147">
        <v>2396</v>
      </c>
      <c r="T33" s="212">
        <v>2334</v>
      </c>
      <c r="U33" s="212"/>
      <c r="V33" s="212">
        <v>2354</v>
      </c>
      <c r="W33" s="212">
        <v>2204</v>
      </c>
      <c r="X33" s="211">
        <v>2232.1</v>
      </c>
      <c r="Y33" s="212">
        <v>2233</v>
      </c>
      <c r="Z33" s="211">
        <v>1910</v>
      </c>
      <c r="AA33" s="211"/>
      <c r="AB33" s="211">
        <v>2147</v>
      </c>
      <c r="AC33" s="211">
        <f>13.7+2210</f>
        <v>2223.6999999999998</v>
      </c>
      <c r="AD33" s="211"/>
    </row>
    <row r="34" spans="1:30" ht="20.100000000000001" customHeight="1" x14ac:dyDescent="0.2">
      <c r="A34" s="7" t="s">
        <v>42</v>
      </c>
      <c r="B34" s="8"/>
      <c r="C34" s="9"/>
      <c r="D34" s="6"/>
      <c r="E34" s="6"/>
      <c r="F34" s="6"/>
      <c r="G34" s="6"/>
      <c r="H34" s="6">
        <v>7</v>
      </c>
      <c r="I34" s="6">
        <v>4</v>
      </c>
      <c r="J34" s="6">
        <f>3.9</f>
        <v>3.9</v>
      </c>
      <c r="K34" s="6">
        <v>26</v>
      </c>
      <c r="L34" s="5">
        <v>7</v>
      </c>
      <c r="M34" s="5"/>
      <c r="N34" s="5"/>
      <c r="O34" s="5"/>
      <c r="P34" s="5"/>
      <c r="Q34" s="5"/>
      <c r="R34" s="133">
        <v>31</v>
      </c>
      <c r="S34" s="147">
        <v>80</v>
      </c>
      <c r="T34" s="212">
        <v>7</v>
      </c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</row>
    <row r="35" spans="1:30" ht="20.100000000000001" customHeight="1" x14ac:dyDescent="0.2">
      <c r="A35" s="7" t="s">
        <v>43</v>
      </c>
      <c r="B35" s="8"/>
      <c r="C35" s="9"/>
      <c r="D35" s="6">
        <v>4005</v>
      </c>
      <c r="E35" s="6">
        <v>5280</v>
      </c>
      <c r="F35" s="6">
        <v>4124</v>
      </c>
      <c r="G35" s="6">
        <v>3862</v>
      </c>
      <c r="H35" s="6"/>
      <c r="I35" s="6">
        <f>4435+582.5</f>
        <v>5017.5</v>
      </c>
      <c r="J35" s="6">
        <f>3955.8+99.8+29.9+23.3+114.8+447.5+22</f>
        <v>4693.1000000000004</v>
      </c>
      <c r="K35" s="6">
        <v>3347</v>
      </c>
      <c r="L35" s="6">
        <v>3880</v>
      </c>
      <c r="M35" s="5">
        <v>2782.8</v>
      </c>
      <c r="N35" s="5">
        <v>1655</v>
      </c>
      <c r="O35" s="5">
        <v>1685</v>
      </c>
      <c r="P35" s="5">
        <v>2376</v>
      </c>
      <c r="Q35" s="5">
        <v>2440</v>
      </c>
      <c r="R35" s="133">
        <v>2077</v>
      </c>
      <c r="S35" s="147">
        <v>1984</v>
      </c>
      <c r="T35" s="212">
        <v>1857</v>
      </c>
      <c r="U35" s="212"/>
      <c r="V35" s="212">
        <v>2605</v>
      </c>
      <c r="W35" s="212">
        <v>2901</v>
      </c>
      <c r="X35" s="211">
        <v>2797.3</v>
      </c>
      <c r="Y35" s="212">
        <v>2613</v>
      </c>
      <c r="Z35" s="211">
        <v>2433</v>
      </c>
      <c r="AA35" s="211"/>
      <c r="AB35" s="211">
        <v>3036</v>
      </c>
      <c r="AC35" s="211">
        <v>3309</v>
      </c>
      <c r="AD35" s="211"/>
    </row>
    <row r="36" spans="1:30" ht="20.100000000000001" customHeight="1" x14ac:dyDescent="0.2">
      <c r="A36" s="7" t="s">
        <v>44</v>
      </c>
      <c r="B36" s="8"/>
      <c r="C36" s="9"/>
      <c r="D36" s="6">
        <v>48</v>
      </c>
      <c r="E36" s="6"/>
      <c r="F36" s="6">
        <v>70</v>
      </c>
      <c r="G36" s="6">
        <v>54</v>
      </c>
      <c r="H36" s="6"/>
      <c r="I36" s="6"/>
      <c r="J36" s="6"/>
      <c r="K36" s="6"/>
      <c r="L36" s="5"/>
      <c r="M36" s="5">
        <v>8.6999999999999993</v>
      </c>
      <c r="N36" s="5"/>
      <c r="O36" s="5"/>
      <c r="P36" s="5"/>
      <c r="Q36" s="5"/>
      <c r="R36" s="133"/>
      <c r="S36" s="147"/>
      <c r="T36" s="212"/>
      <c r="U36" s="212"/>
      <c r="V36" s="212"/>
      <c r="W36" s="212"/>
      <c r="X36" s="212"/>
      <c r="Y36" s="212">
        <v>25</v>
      </c>
      <c r="Z36" s="212">
        <v>52</v>
      </c>
      <c r="AA36" s="212"/>
      <c r="AB36" s="212"/>
      <c r="AC36" s="211">
        <f>22+54.5</f>
        <v>76.5</v>
      </c>
      <c r="AD36" s="212">
        <v>31</v>
      </c>
    </row>
    <row r="37" spans="1:30" ht="20.100000000000001" customHeight="1" x14ac:dyDescent="0.2">
      <c r="A37" s="256" t="s">
        <v>45</v>
      </c>
      <c r="B37" s="257"/>
      <c r="C37" s="258"/>
      <c r="D37" s="79">
        <f>SUM(D29:D36)</f>
        <v>5348</v>
      </c>
      <c r="E37" s="79">
        <f>SUM(E29:E36)</f>
        <v>6904</v>
      </c>
      <c r="F37" s="79">
        <f>SUM(F29:F36)</f>
        <v>6197</v>
      </c>
      <c r="G37" s="79">
        <f t="shared" ref="G37:M37" si="5">SUM(G29:G36)</f>
        <v>6316</v>
      </c>
      <c r="H37" s="79">
        <f t="shared" si="5"/>
        <v>2722</v>
      </c>
      <c r="I37" s="79">
        <f t="shared" si="5"/>
        <v>8599.2999999999993</v>
      </c>
      <c r="J37" s="79">
        <f t="shared" si="5"/>
        <v>8765.6</v>
      </c>
      <c r="K37" s="79">
        <f t="shared" si="5"/>
        <v>6566</v>
      </c>
      <c r="L37" s="79">
        <f t="shared" si="5"/>
        <v>6642</v>
      </c>
      <c r="M37" s="79">
        <f t="shared" si="5"/>
        <v>5960.5</v>
      </c>
      <c r="N37" s="79">
        <f t="shared" ref="N37:AC37" si="6">SUM(N29:N36)</f>
        <v>5014</v>
      </c>
      <c r="O37" s="79">
        <f t="shared" si="6"/>
        <v>4881</v>
      </c>
      <c r="P37" s="79">
        <f t="shared" si="6"/>
        <v>5884</v>
      </c>
      <c r="Q37" s="79">
        <f t="shared" si="6"/>
        <v>7162</v>
      </c>
      <c r="R37" s="79">
        <f t="shared" si="6"/>
        <v>6916</v>
      </c>
      <c r="S37" s="79">
        <f t="shared" si="6"/>
        <v>8095</v>
      </c>
      <c r="T37" s="79">
        <f t="shared" si="6"/>
        <v>7197</v>
      </c>
      <c r="U37" s="79">
        <f t="shared" si="6"/>
        <v>3186</v>
      </c>
      <c r="V37" s="79">
        <f t="shared" si="6"/>
        <v>8999</v>
      </c>
      <c r="W37" s="79">
        <f t="shared" si="6"/>
        <v>9503.2000000000007</v>
      </c>
      <c r="X37" s="79">
        <f t="shared" si="6"/>
        <v>9672.2999999999993</v>
      </c>
      <c r="Y37" s="79">
        <f t="shared" si="6"/>
        <v>9701</v>
      </c>
      <c r="Z37" s="79">
        <f t="shared" si="6"/>
        <v>8491</v>
      </c>
      <c r="AA37" s="79">
        <f t="shared" si="6"/>
        <v>4974</v>
      </c>
      <c r="AB37" s="79">
        <f t="shared" si="6"/>
        <v>9797</v>
      </c>
      <c r="AC37" s="79">
        <f t="shared" si="6"/>
        <v>10239.200000000001</v>
      </c>
      <c r="AD37" s="79">
        <f t="shared" ref="AD37" si="7">SUM(AD29:AD36)</f>
        <v>4347</v>
      </c>
    </row>
    <row r="38" spans="1:30" ht="20.100000000000001" customHeight="1" x14ac:dyDescent="0.2">
      <c r="A38" s="7" t="s">
        <v>64</v>
      </c>
      <c r="B38" s="8"/>
      <c r="C38" s="9"/>
      <c r="D38" s="5"/>
      <c r="E38" s="5"/>
      <c r="F38" s="5">
        <v>15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33"/>
      <c r="S38" s="147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</row>
    <row r="39" spans="1:30" ht="20.100000000000001" customHeight="1" x14ac:dyDescent="0.2">
      <c r="A39" s="7" t="s">
        <v>47</v>
      </c>
      <c r="B39" s="8"/>
      <c r="C39" s="9"/>
      <c r="D39" s="5">
        <v>426</v>
      </c>
      <c r="E39" s="5">
        <v>739</v>
      </c>
      <c r="F39" s="5">
        <v>835</v>
      </c>
      <c r="G39" s="5">
        <v>730</v>
      </c>
      <c r="H39" s="5">
        <v>306</v>
      </c>
      <c r="I39" s="5">
        <v>393</v>
      </c>
      <c r="J39" s="5">
        <v>659.4</v>
      </c>
      <c r="K39" s="5">
        <v>907</v>
      </c>
      <c r="L39" s="5">
        <v>633</v>
      </c>
      <c r="M39" s="5">
        <v>608.29999999999995</v>
      </c>
      <c r="N39" s="5">
        <v>450</v>
      </c>
      <c r="O39" s="5">
        <v>310</v>
      </c>
      <c r="P39" s="5">
        <v>628</v>
      </c>
      <c r="Q39" s="5">
        <v>1313</v>
      </c>
      <c r="R39" s="133">
        <v>1220</v>
      </c>
      <c r="S39" s="147">
        <v>1165</v>
      </c>
      <c r="T39" s="212">
        <v>738</v>
      </c>
      <c r="U39" s="212">
        <v>720</v>
      </c>
      <c r="V39" s="212">
        <v>721</v>
      </c>
      <c r="W39" s="211">
        <v>686.3</v>
      </c>
      <c r="X39" s="211">
        <v>646.1</v>
      </c>
      <c r="Y39" s="212">
        <v>269</v>
      </c>
      <c r="Z39" s="211">
        <v>288</v>
      </c>
      <c r="AA39" s="211">
        <v>160</v>
      </c>
      <c r="AB39" s="211">
        <v>333</v>
      </c>
      <c r="AC39" s="211">
        <v>300</v>
      </c>
      <c r="AD39" s="211"/>
    </row>
    <row r="40" spans="1:30" ht="20.100000000000001" customHeight="1" x14ac:dyDescent="0.2">
      <c r="A40" s="120" t="s">
        <v>48</v>
      </c>
      <c r="B40" s="8"/>
      <c r="C40" s="9"/>
      <c r="D40" s="5"/>
      <c r="E40" s="5"/>
      <c r="F40" s="6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33"/>
      <c r="S40" s="147"/>
      <c r="T40" s="212"/>
      <c r="U40" s="212"/>
      <c r="V40" s="212"/>
      <c r="W40" s="212"/>
      <c r="X40" s="211"/>
      <c r="Y40" s="212"/>
      <c r="Z40" s="211"/>
      <c r="AA40" s="211"/>
      <c r="AB40" s="211"/>
      <c r="AC40" s="211"/>
      <c r="AD40" s="211"/>
    </row>
    <row r="41" spans="1:30" ht="20.100000000000001" customHeight="1" x14ac:dyDescent="0.2">
      <c r="A41" s="120" t="s">
        <v>49</v>
      </c>
      <c r="B41" s="8"/>
      <c r="C41" s="9"/>
      <c r="D41" s="5">
        <v>834</v>
      </c>
      <c r="E41" s="5">
        <v>895</v>
      </c>
      <c r="F41" s="5">
        <v>1384</v>
      </c>
      <c r="G41" s="5">
        <v>627</v>
      </c>
      <c r="H41" s="5">
        <v>621</v>
      </c>
      <c r="I41" s="5">
        <v>983</v>
      </c>
      <c r="J41" s="5">
        <v>709</v>
      </c>
      <c r="K41" s="5">
        <v>858</v>
      </c>
      <c r="L41" s="5">
        <v>742</v>
      </c>
      <c r="M41" s="5">
        <v>924</v>
      </c>
      <c r="N41" s="5">
        <v>1120</v>
      </c>
      <c r="O41" s="5">
        <v>586</v>
      </c>
      <c r="P41" s="5">
        <v>630</v>
      </c>
      <c r="Q41" s="5">
        <v>498</v>
      </c>
      <c r="R41" s="133">
        <v>541</v>
      </c>
      <c r="S41" s="147">
        <v>504</v>
      </c>
      <c r="T41" s="212">
        <v>639</v>
      </c>
      <c r="U41" s="212">
        <v>215</v>
      </c>
      <c r="V41" s="212">
        <v>39</v>
      </c>
      <c r="W41" s="212">
        <v>64</v>
      </c>
      <c r="X41" s="211">
        <v>160.4</v>
      </c>
      <c r="Y41" s="212">
        <v>92</v>
      </c>
      <c r="Z41" s="211">
        <v>84</v>
      </c>
      <c r="AA41" s="211">
        <v>45</v>
      </c>
      <c r="AB41" s="211">
        <v>189</v>
      </c>
      <c r="AC41" s="211">
        <f>14+143.7</f>
        <v>157.69999999999999</v>
      </c>
      <c r="AD41" s="211"/>
    </row>
    <row r="42" spans="1:30" ht="20.100000000000001" customHeight="1" x14ac:dyDescent="0.2">
      <c r="A42" s="7" t="s">
        <v>51</v>
      </c>
      <c r="B42" s="8"/>
      <c r="C42" s="9"/>
      <c r="D42" s="6">
        <v>2604</v>
      </c>
      <c r="E42" s="6">
        <v>2185</v>
      </c>
      <c r="F42" s="6">
        <v>2129</v>
      </c>
      <c r="G42" s="5">
        <v>2041</v>
      </c>
      <c r="H42" s="5">
        <v>1849</v>
      </c>
      <c r="I42" s="5">
        <v>1777</v>
      </c>
      <c r="J42" s="5">
        <v>1762</v>
      </c>
      <c r="K42" s="5">
        <v>914</v>
      </c>
      <c r="L42" s="6">
        <v>850</v>
      </c>
      <c r="M42" s="5">
        <v>1282</v>
      </c>
      <c r="N42" s="5">
        <v>1158</v>
      </c>
      <c r="O42" s="5">
        <v>1256</v>
      </c>
      <c r="P42" s="5">
        <v>1292</v>
      </c>
      <c r="Q42" s="5">
        <v>1251</v>
      </c>
      <c r="R42" s="133">
        <v>1082</v>
      </c>
      <c r="S42" s="147">
        <v>1102</v>
      </c>
      <c r="T42" s="212">
        <v>965</v>
      </c>
      <c r="U42" s="212"/>
      <c r="V42" s="212"/>
      <c r="W42" s="212"/>
      <c r="X42" s="211"/>
      <c r="Y42" s="212"/>
      <c r="Z42" s="211"/>
      <c r="AA42" s="211"/>
      <c r="AB42" s="211"/>
      <c r="AC42" s="211"/>
      <c r="AD42" s="211"/>
    </row>
    <row r="43" spans="1:30" ht="20.100000000000001" customHeight="1" x14ac:dyDescent="0.2">
      <c r="A43" s="7" t="s">
        <v>52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33"/>
      <c r="S43" s="147"/>
      <c r="T43" s="212"/>
      <c r="U43" s="212"/>
      <c r="V43" s="212"/>
      <c r="W43" s="212"/>
      <c r="X43" s="211"/>
      <c r="Y43" s="212"/>
      <c r="Z43" s="211"/>
      <c r="AA43" s="211"/>
      <c r="AB43" s="211"/>
      <c r="AC43" s="211"/>
      <c r="AD43" s="211"/>
    </row>
    <row r="44" spans="1:30" ht="20.100000000000001" customHeight="1" x14ac:dyDescent="0.2">
      <c r="A44" s="7" t="s">
        <v>53</v>
      </c>
      <c r="B44" s="8"/>
      <c r="C44" s="9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33"/>
      <c r="S44" s="147"/>
      <c r="T44" s="212"/>
      <c r="U44" s="212"/>
      <c r="V44" s="212"/>
      <c r="W44" s="212"/>
      <c r="X44" s="211"/>
      <c r="Y44" s="212"/>
      <c r="Z44" s="211"/>
      <c r="AA44" s="211"/>
      <c r="AB44" s="211"/>
      <c r="AC44" s="211"/>
      <c r="AD44" s="211"/>
    </row>
    <row r="45" spans="1:30" ht="20.100000000000001" customHeight="1" x14ac:dyDescent="0.2">
      <c r="A45" s="7" t="s">
        <v>54</v>
      </c>
      <c r="B45" s="8"/>
      <c r="C45" s="9"/>
      <c r="D45" s="5"/>
      <c r="E45" s="5"/>
      <c r="F45" s="5"/>
      <c r="G45" s="5"/>
      <c r="H45" s="5"/>
      <c r="I45" s="6"/>
      <c r="J45" s="6"/>
      <c r="K45" s="6">
        <v>18</v>
      </c>
      <c r="L45" s="5">
        <v>20</v>
      </c>
      <c r="M45" s="5"/>
      <c r="N45" s="5"/>
      <c r="O45" s="5"/>
      <c r="P45" s="5"/>
      <c r="Q45" s="5"/>
      <c r="R45" s="133"/>
      <c r="S45" s="147"/>
      <c r="T45" s="212"/>
      <c r="U45" s="212"/>
      <c r="V45" s="212"/>
      <c r="W45" s="212"/>
      <c r="X45" s="211"/>
      <c r="Y45" s="212"/>
      <c r="Z45" s="211"/>
      <c r="AA45" s="211">
        <v>103</v>
      </c>
      <c r="AB45" s="211"/>
      <c r="AC45" s="211"/>
      <c r="AD45" s="211"/>
    </row>
    <row r="46" spans="1:30" ht="20.100000000000001" customHeight="1" x14ac:dyDescent="0.2">
      <c r="A46" s="256" t="s">
        <v>55</v>
      </c>
      <c r="B46" s="257"/>
      <c r="C46" s="258"/>
      <c r="D46" s="79">
        <f>D16+D28+D37+D38+D39+D40+D41+D42+D43+D44+D45</f>
        <v>69742</v>
      </c>
      <c r="E46" s="79">
        <f>E16+E28+E37+E38+E39+E40+E41+E42+E43+E44+E45</f>
        <v>73221</v>
      </c>
      <c r="F46" s="79">
        <f>F16+F28+F37+F38+F39+F40+F41+F42+F43+F44+F45</f>
        <v>81946</v>
      </c>
      <c r="G46" s="79">
        <f t="shared" ref="G46:AA46" si="8">G16+G28+G37+G38+G39+G40+G41+G42+G43+G44+G45</f>
        <v>75196</v>
      </c>
      <c r="H46" s="79">
        <f t="shared" si="8"/>
        <v>68872</v>
      </c>
      <c r="I46" s="79">
        <f t="shared" si="8"/>
        <v>82917.5</v>
      </c>
      <c r="J46" s="79">
        <f t="shared" si="8"/>
        <v>79948.5</v>
      </c>
      <c r="K46" s="79">
        <f t="shared" si="8"/>
        <v>69276</v>
      </c>
      <c r="L46" s="79">
        <f t="shared" si="8"/>
        <v>71031</v>
      </c>
      <c r="M46" s="79">
        <f t="shared" si="8"/>
        <v>63343.200000000004</v>
      </c>
      <c r="N46" s="79">
        <f t="shared" si="8"/>
        <v>58441</v>
      </c>
      <c r="O46" s="79">
        <f t="shared" si="8"/>
        <v>57164</v>
      </c>
      <c r="P46" s="79">
        <f t="shared" si="8"/>
        <v>59579</v>
      </c>
      <c r="Q46" s="79">
        <f t="shared" si="8"/>
        <v>57621</v>
      </c>
      <c r="R46" s="79">
        <f t="shared" si="8"/>
        <v>60634</v>
      </c>
      <c r="S46" s="79">
        <f t="shared" si="8"/>
        <v>68037</v>
      </c>
      <c r="T46" s="79">
        <f t="shared" si="8"/>
        <v>64847</v>
      </c>
      <c r="U46" s="79">
        <f t="shared" si="8"/>
        <v>56640</v>
      </c>
      <c r="V46" s="79">
        <f t="shared" si="8"/>
        <v>59421</v>
      </c>
      <c r="W46" s="79">
        <f t="shared" si="8"/>
        <v>61048.900000000009</v>
      </c>
      <c r="X46" s="79">
        <f t="shared" si="8"/>
        <v>59518.899999999994</v>
      </c>
      <c r="Y46" s="79">
        <f t="shared" si="8"/>
        <v>61667</v>
      </c>
      <c r="Z46" s="79">
        <f t="shared" si="8"/>
        <v>59918</v>
      </c>
      <c r="AA46" s="79">
        <f t="shared" si="8"/>
        <v>59149</v>
      </c>
      <c r="AB46" s="79">
        <f t="shared" ref="AB46:AC46" si="9">AB16+AB28+AB37+AB38+AB39+AB40+AB41+AB42+AB43+AB44+AB45</f>
        <v>65726</v>
      </c>
      <c r="AC46" s="79">
        <f t="shared" si="9"/>
        <v>65102.22</v>
      </c>
      <c r="AD46" s="79">
        <f t="shared" ref="AD46" si="10">AD16+AD28+AD37+AD38+AD39+AD40+AD41+AD42+AD43+AD44+AD45</f>
        <v>17629</v>
      </c>
    </row>
    <row r="47" spans="1:30" ht="20.100000000000001" customHeight="1" x14ac:dyDescent="0.2">
      <c r="F47" t="s">
        <v>32</v>
      </c>
    </row>
    <row r="48" spans="1:30" x14ac:dyDescent="0.2">
      <c r="Z48" s="64"/>
    </row>
  </sheetData>
  <mergeCells count="1">
    <mergeCell ref="A2:I2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2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AD50"/>
  <sheetViews>
    <sheetView topLeftCell="A15" zoomScaleNormal="100" workbookViewId="0">
      <pane xSplit="3" topLeftCell="P1" activePane="topRight" state="frozen"/>
      <selection activeCell="Z16" sqref="Z16"/>
      <selection pane="topRight" activeCell="AF16" sqref="AF16"/>
    </sheetView>
  </sheetViews>
  <sheetFormatPr defaultColWidth="11.42578125" defaultRowHeight="12.75" x14ac:dyDescent="0.2"/>
  <cols>
    <col min="1" max="2" width="11.42578125" customWidth="1"/>
    <col min="3" max="3" width="5.140625" customWidth="1"/>
    <col min="4" max="9" width="11.42578125" hidden="1" customWidth="1"/>
    <col min="10" max="13" width="11.42578125" customWidth="1"/>
    <col min="14" max="14" width="11.7109375" bestFit="1" customWidth="1"/>
    <col min="15" max="17" width="0" hidden="1" customWidth="1"/>
    <col min="18" max="20" width="11.42578125" customWidth="1"/>
    <col min="21" max="24" width="11.42578125" style="146" customWidth="1"/>
  </cols>
  <sheetData>
    <row r="1" spans="1:30" ht="17.100000000000001" customHeight="1" x14ac:dyDescent="0.25">
      <c r="A1" s="4" t="s">
        <v>113</v>
      </c>
      <c r="B1" s="1"/>
      <c r="C1" s="1"/>
      <c r="D1" s="1"/>
      <c r="E1" s="1"/>
      <c r="F1" s="1"/>
      <c r="G1" s="1"/>
      <c r="H1" s="1"/>
      <c r="I1" s="1"/>
    </row>
    <row r="2" spans="1:30" ht="17.100000000000001" customHeight="1" x14ac:dyDescent="0.25">
      <c r="A2" s="292" t="s">
        <v>10</v>
      </c>
      <c r="B2" s="292"/>
      <c r="C2" s="292"/>
      <c r="D2" s="292"/>
      <c r="E2" s="292"/>
      <c r="F2" s="292"/>
      <c r="G2" s="292"/>
      <c r="H2" s="292"/>
      <c r="I2" s="292"/>
    </row>
    <row r="3" spans="1:30" ht="16.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30" ht="5.25" customHeight="1" x14ac:dyDescent="0.25">
      <c r="A4" s="1"/>
      <c r="B4" s="1"/>
      <c r="C4" s="1"/>
      <c r="D4" s="1"/>
      <c r="E4" s="1"/>
      <c r="F4" s="1"/>
      <c r="G4" s="1"/>
      <c r="H4" s="1"/>
      <c r="I4" s="1"/>
      <c r="Z4" s="201"/>
    </row>
    <row r="5" spans="1:30" s="43" customFormat="1" ht="20.100000000000001" customHeight="1" x14ac:dyDescent="0.25">
      <c r="A5" s="40" t="s">
        <v>11</v>
      </c>
      <c r="B5" s="41"/>
      <c r="C5" s="42"/>
      <c r="D5" s="96">
        <v>1997</v>
      </c>
      <c r="E5" s="96">
        <v>1998</v>
      </c>
      <c r="F5" s="96">
        <v>1999</v>
      </c>
      <c r="G5" s="96">
        <v>2000</v>
      </c>
      <c r="H5" s="96">
        <v>2001</v>
      </c>
      <c r="I5" s="96">
        <v>2002</v>
      </c>
      <c r="J5" s="96">
        <v>2003</v>
      </c>
      <c r="K5" s="96">
        <v>2004</v>
      </c>
      <c r="L5" s="96">
        <v>2005</v>
      </c>
      <c r="M5" s="96">
        <v>2006</v>
      </c>
      <c r="N5" s="96">
        <v>2007</v>
      </c>
      <c r="O5" s="105">
        <v>2008</v>
      </c>
      <c r="P5" s="105">
        <v>2009</v>
      </c>
      <c r="Q5" s="105">
        <v>2010</v>
      </c>
      <c r="R5" s="105">
        <v>2011</v>
      </c>
      <c r="S5" s="105">
        <v>2012</v>
      </c>
      <c r="T5" s="105">
        <v>2013</v>
      </c>
      <c r="U5" s="220">
        <v>2014</v>
      </c>
      <c r="V5" s="105">
        <v>2015</v>
      </c>
      <c r="W5" s="105">
        <v>2016</v>
      </c>
      <c r="X5" s="105">
        <v>2017</v>
      </c>
      <c r="Y5" s="105">
        <v>2018</v>
      </c>
      <c r="Z5" s="105">
        <v>2019</v>
      </c>
      <c r="AA5" s="105">
        <v>2020</v>
      </c>
      <c r="AB5" s="105">
        <v>2021</v>
      </c>
      <c r="AC5" s="105">
        <v>2022</v>
      </c>
      <c r="AD5" s="288">
        <v>2023</v>
      </c>
    </row>
    <row r="6" spans="1:30" ht="20.100000000000001" customHeight="1" x14ac:dyDescent="0.2">
      <c r="A6" s="7" t="s">
        <v>13</v>
      </c>
      <c r="B6" s="8"/>
      <c r="C6" s="9"/>
      <c r="D6" s="6">
        <v>24808</v>
      </c>
      <c r="E6" s="6">
        <v>22217</v>
      </c>
      <c r="F6" s="6">
        <v>24715</v>
      </c>
      <c r="G6" s="6">
        <v>20922</v>
      </c>
      <c r="H6" s="6">
        <v>22648</v>
      </c>
      <c r="I6" s="6">
        <v>18546</v>
      </c>
      <c r="J6" s="6">
        <v>19167.8</v>
      </c>
      <c r="K6" s="6">
        <v>19631.5</v>
      </c>
      <c r="L6" s="63">
        <v>17847.482352941177</v>
      </c>
      <c r="M6" s="6">
        <v>15469</v>
      </c>
      <c r="N6" s="5">
        <v>15493</v>
      </c>
      <c r="O6" s="5">
        <v>17692</v>
      </c>
      <c r="P6" s="5">
        <v>19483</v>
      </c>
      <c r="Q6" s="5">
        <v>16996</v>
      </c>
      <c r="R6" s="136">
        <v>16589</v>
      </c>
      <c r="S6" s="138">
        <v>20665</v>
      </c>
      <c r="T6" s="138">
        <v>22856</v>
      </c>
      <c r="U6" s="218">
        <v>19091.71</v>
      </c>
      <c r="V6" s="181">
        <v>18348.22</v>
      </c>
      <c r="W6" s="181">
        <v>17934</v>
      </c>
      <c r="X6" s="181">
        <v>20248.759999999995</v>
      </c>
      <c r="Y6" s="6">
        <v>21898.459999999988</v>
      </c>
      <c r="Z6" s="185">
        <v>21454</v>
      </c>
      <c r="AA6" s="181">
        <v>23333</v>
      </c>
      <c r="AB6" s="181">
        <v>19744.05999999999</v>
      </c>
      <c r="AC6" s="181">
        <v>17250.620000000006</v>
      </c>
      <c r="AD6" s="289">
        <v>5163.5</v>
      </c>
    </row>
    <row r="7" spans="1:30" ht="20.100000000000001" customHeight="1" x14ac:dyDescent="0.2">
      <c r="A7" s="7" t="s">
        <v>14</v>
      </c>
      <c r="B7" s="8"/>
      <c r="C7" s="9"/>
      <c r="D7" s="6">
        <v>29473</v>
      </c>
      <c r="E7" s="6">
        <v>25441</v>
      </c>
      <c r="F7" s="6">
        <v>17745</v>
      </c>
      <c r="G7" s="6">
        <v>18225</v>
      </c>
      <c r="H7" s="6">
        <v>15094</v>
      </c>
      <c r="I7" s="6">
        <v>14894</v>
      </c>
      <c r="J7" s="6">
        <v>11280.8</v>
      </c>
      <c r="K7" s="6">
        <v>11363</v>
      </c>
      <c r="L7" s="63">
        <v>9517.4980392156867</v>
      </c>
      <c r="M7" s="23">
        <v>9525</v>
      </c>
      <c r="N7" s="98">
        <v>9050</v>
      </c>
      <c r="O7" s="6">
        <v>9809</v>
      </c>
      <c r="P7" s="5">
        <v>10220</v>
      </c>
      <c r="Q7" s="5">
        <v>8707</v>
      </c>
      <c r="R7" s="137">
        <v>7100</v>
      </c>
      <c r="S7" s="139">
        <v>9694</v>
      </c>
      <c r="T7" s="139">
        <v>11947</v>
      </c>
      <c r="U7" s="218">
        <v>13565.470000000001</v>
      </c>
      <c r="V7" s="181">
        <v>9334.32</v>
      </c>
      <c r="W7" s="181">
        <v>10271</v>
      </c>
      <c r="X7" s="181">
        <v>9972.94</v>
      </c>
      <c r="Y7" s="6">
        <v>9029.98</v>
      </c>
      <c r="Z7" s="185">
        <v>10242</v>
      </c>
      <c r="AA7" s="181">
        <v>9754</v>
      </c>
      <c r="AB7" s="181">
        <v>11126.03</v>
      </c>
      <c r="AC7" s="181">
        <v>10793.88</v>
      </c>
      <c r="AD7" s="289">
        <v>9813.64</v>
      </c>
    </row>
    <row r="8" spans="1:30" ht="20.100000000000001" customHeight="1" x14ac:dyDescent="0.2">
      <c r="A8" s="7" t="s">
        <v>58</v>
      </c>
      <c r="B8" s="8"/>
      <c r="C8" s="9"/>
      <c r="D8" s="6">
        <v>3967</v>
      </c>
      <c r="E8" s="6">
        <v>3880</v>
      </c>
      <c r="F8" s="6">
        <v>4155</v>
      </c>
      <c r="G8" s="6">
        <v>3987</v>
      </c>
      <c r="H8" s="6">
        <v>4979</v>
      </c>
      <c r="I8" s="6">
        <v>4465</v>
      </c>
      <c r="J8" s="6">
        <v>3875</v>
      </c>
      <c r="K8" s="6">
        <v>2874</v>
      </c>
      <c r="L8" s="63">
        <v>2271</v>
      </c>
      <c r="M8" s="5">
        <v>3489</v>
      </c>
      <c r="N8" s="5">
        <v>3450</v>
      </c>
      <c r="O8" s="6">
        <v>4000</v>
      </c>
      <c r="P8" s="5">
        <v>3545</v>
      </c>
      <c r="Q8" s="5">
        <v>3390</v>
      </c>
      <c r="R8" s="137">
        <v>3194</v>
      </c>
      <c r="S8" s="139">
        <v>4404</v>
      </c>
      <c r="T8" s="139">
        <v>4714</v>
      </c>
      <c r="U8" s="218">
        <v>4053</v>
      </c>
      <c r="V8" s="181">
        <v>3774.58</v>
      </c>
      <c r="W8" s="181">
        <v>3759</v>
      </c>
      <c r="X8" s="181">
        <v>4743.3099999999995</v>
      </c>
      <c r="Y8" s="181">
        <v>5578</v>
      </c>
      <c r="Z8" s="181">
        <v>5625</v>
      </c>
      <c r="AA8" s="181">
        <v>6620</v>
      </c>
      <c r="AB8" s="181">
        <v>7570.0099999999984</v>
      </c>
      <c r="AC8" s="181">
        <v>5488.58</v>
      </c>
      <c r="AD8" s="289">
        <v>2371.3000000000002</v>
      </c>
    </row>
    <row r="9" spans="1:30" ht="20.100000000000001" customHeight="1" x14ac:dyDescent="0.2">
      <c r="A9" s="7" t="s">
        <v>16</v>
      </c>
      <c r="B9" s="8"/>
      <c r="C9" s="9"/>
      <c r="D9" s="6">
        <v>617</v>
      </c>
      <c r="E9" s="6">
        <v>641</v>
      </c>
      <c r="F9" s="6">
        <v>549</v>
      </c>
      <c r="G9" s="6">
        <v>359</v>
      </c>
      <c r="H9" s="6">
        <v>214</v>
      </c>
      <c r="I9" s="6">
        <v>242</v>
      </c>
      <c r="J9" s="6">
        <v>248.6</v>
      </c>
      <c r="K9" s="6">
        <v>250</v>
      </c>
      <c r="L9" s="63">
        <v>163.19999999999999</v>
      </c>
      <c r="M9" s="23">
        <v>159.9</v>
      </c>
      <c r="N9" s="5">
        <v>223</v>
      </c>
      <c r="O9" s="5">
        <v>261</v>
      </c>
      <c r="P9" s="5">
        <v>15</v>
      </c>
      <c r="Q9" s="5">
        <v>139</v>
      </c>
      <c r="R9" s="137">
        <v>145.69999999999999</v>
      </c>
      <c r="S9" s="139">
        <v>145.69999999999999</v>
      </c>
      <c r="T9" s="139">
        <v>180</v>
      </c>
      <c r="U9" s="218">
        <v>243</v>
      </c>
      <c r="V9" s="181">
        <v>337</v>
      </c>
      <c r="W9" s="181">
        <v>456.7</v>
      </c>
      <c r="X9" s="181">
        <v>629.1</v>
      </c>
      <c r="Y9" s="6">
        <v>683.80000000000018</v>
      </c>
      <c r="Z9" s="185">
        <v>762</v>
      </c>
      <c r="AA9" s="181">
        <v>956</v>
      </c>
      <c r="AB9" s="181">
        <v>1210.0999999999999</v>
      </c>
      <c r="AC9" s="181">
        <v>1291.7</v>
      </c>
      <c r="AD9" s="289">
        <v>1184.2</v>
      </c>
    </row>
    <row r="10" spans="1:30" ht="20.100000000000001" customHeight="1" x14ac:dyDescent="0.2">
      <c r="A10" s="7" t="s">
        <v>17</v>
      </c>
      <c r="B10" s="8"/>
      <c r="C10" s="9"/>
      <c r="D10" s="6">
        <v>285</v>
      </c>
      <c r="E10" s="6">
        <v>500</v>
      </c>
      <c r="F10" s="6">
        <v>611</v>
      </c>
      <c r="G10" s="6">
        <v>613</v>
      </c>
      <c r="H10" s="6">
        <v>715</v>
      </c>
      <c r="I10" s="6">
        <v>707</v>
      </c>
      <c r="J10" s="6">
        <v>706.1</v>
      </c>
      <c r="K10" s="6">
        <v>755.8</v>
      </c>
      <c r="L10" s="63">
        <v>947.8</v>
      </c>
      <c r="M10" s="5">
        <v>1062</v>
      </c>
      <c r="N10" s="5">
        <v>606</v>
      </c>
      <c r="O10" s="5">
        <v>776</v>
      </c>
      <c r="P10" s="5">
        <v>551</v>
      </c>
      <c r="Q10" s="5">
        <v>618</v>
      </c>
      <c r="R10" s="137">
        <v>444</v>
      </c>
      <c r="S10" s="139">
        <v>552</v>
      </c>
      <c r="T10" s="139">
        <v>1000</v>
      </c>
      <c r="U10" s="218">
        <v>664</v>
      </c>
      <c r="V10" s="181">
        <v>663</v>
      </c>
      <c r="W10" s="181">
        <v>494</v>
      </c>
      <c r="X10" s="181">
        <v>240</v>
      </c>
      <c r="Y10" s="6">
        <v>244</v>
      </c>
      <c r="Z10" s="185">
        <v>681</v>
      </c>
      <c r="AA10" s="181">
        <v>1164</v>
      </c>
      <c r="AB10" s="181">
        <v>1187.7</v>
      </c>
      <c r="AC10" s="181">
        <v>795.4</v>
      </c>
      <c r="AD10" s="289">
        <v>340.9</v>
      </c>
    </row>
    <row r="11" spans="1:30" ht="20.100000000000001" customHeight="1" x14ac:dyDescent="0.2">
      <c r="A11" s="7" t="s">
        <v>59</v>
      </c>
      <c r="B11" s="8"/>
      <c r="C11" s="9"/>
      <c r="D11" s="6">
        <v>0</v>
      </c>
      <c r="E11" s="6">
        <v>80</v>
      </c>
      <c r="F11" s="6">
        <v>386</v>
      </c>
      <c r="G11" s="6">
        <v>344</v>
      </c>
      <c r="H11" s="6">
        <v>396</v>
      </c>
      <c r="I11" s="6">
        <v>248</v>
      </c>
      <c r="J11" s="6">
        <v>258.3</v>
      </c>
      <c r="K11" s="6">
        <v>157.69999999999999</v>
      </c>
      <c r="L11" s="63">
        <v>200.4</v>
      </c>
      <c r="M11" s="5">
        <v>145</v>
      </c>
      <c r="N11" s="5">
        <v>59</v>
      </c>
      <c r="O11" s="5">
        <v>0</v>
      </c>
      <c r="P11" s="5">
        <v>14</v>
      </c>
      <c r="Q11" s="5">
        <v>0</v>
      </c>
      <c r="R11" s="136">
        <v>0</v>
      </c>
      <c r="S11" s="138">
        <v>0</v>
      </c>
      <c r="T11" s="138">
        <v>0</v>
      </c>
      <c r="U11" s="218">
        <v>0</v>
      </c>
      <c r="V11" s="181">
        <v>0</v>
      </c>
      <c r="W11" s="181">
        <v>0</v>
      </c>
      <c r="X11" s="181">
        <v>0</v>
      </c>
      <c r="Y11" s="181">
        <v>0</v>
      </c>
      <c r="Z11" s="181">
        <v>0</v>
      </c>
      <c r="AA11" s="181">
        <v>0</v>
      </c>
      <c r="AB11" s="181">
        <v>0</v>
      </c>
      <c r="AC11" s="181">
        <v>0</v>
      </c>
      <c r="AD11" s="181">
        <v>0</v>
      </c>
    </row>
    <row r="12" spans="1:30" ht="20.100000000000001" customHeight="1" x14ac:dyDescent="0.2">
      <c r="A12" s="7" t="s">
        <v>19</v>
      </c>
      <c r="B12" s="8"/>
      <c r="C12" s="9"/>
      <c r="D12" s="6">
        <v>1324</v>
      </c>
      <c r="E12" s="6">
        <v>1551</v>
      </c>
      <c r="F12" s="6">
        <v>2449</v>
      </c>
      <c r="G12" s="6">
        <v>1492</v>
      </c>
      <c r="H12" s="6">
        <v>2792</v>
      </c>
      <c r="I12" s="6">
        <v>1619</v>
      </c>
      <c r="J12" s="6">
        <v>1757.6</v>
      </c>
      <c r="K12" s="6">
        <v>2172.6</v>
      </c>
      <c r="L12" s="63">
        <v>2306.4</v>
      </c>
      <c r="M12" s="6">
        <v>2043.3</v>
      </c>
      <c r="N12" s="5">
        <v>1451</v>
      </c>
      <c r="O12" s="5">
        <v>1622</v>
      </c>
      <c r="P12" s="5">
        <v>2468</v>
      </c>
      <c r="Q12" s="5">
        <v>3152</v>
      </c>
      <c r="R12" s="137">
        <v>2957</v>
      </c>
      <c r="S12" s="139">
        <v>2464</v>
      </c>
      <c r="T12" s="139">
        <v>5154</v>
      </c>
      <c r="U12" s="218">
        <v>2382</v>
      </c>
      <c r="V12" s="181">
        <v>3116.31</v>
      </c>
      <c r="W12" s="181">
        <v>3055.64</v>
      </c>
      <c r="X12" s="181">
        <v>2534.5299999999997</v>
      </c>
      <c r="Y12" s="6">
        <v>2232.9000000000005</v>
      </c>
      <c r="Z12" s="185">
        <v>1812</v>
      </c>
      <c r="AA12" s="181">
        <v>3130</v>
      </c>
      <c r="AB12" s="181">
        <v>2909.6</v>
      </c>
      <c r="AC12" s="181">
        <v>2119.2999999999997</v>
      </c>
      <c r="AD12" s="289">
        <v>1076.3</v>
      </c>
    </row>
    <row r="13" spans="1:30" ht="20.100000000000001" customHeight="1" x14ac:dyDescent="0.2">
      <c r="A13" s="7" t="s">
        <v>20</v>
      </c>
      <c r="B13" s="8"/>
      <c r="C13" s="9"/>
      <c r="D13" s="6">
        <v>56424</v>
      </c>
      <c r="E13" s="6">
        <v>59577</v>
      </c>
      <c r="F13" s="6">
        <v>56852</v>
      </c>
      <c r="G13" s="6">
        <v>57698</v>
      </c>
      <c r="H13" s="6">
        <v>39044</v>
      </c>
      <c r="I13" s="6">
        <v>43901</v>
      </c>
      <c r="J13" s="6">
        <v>36441</v>
      </c>
      <c r="K13" s="6">
        <v>39608</v>
      </c>
      <c r="L13" s="63">
        <v>40211.564705882352</v>
      </c>
      <c r="M13" s="99">
        <v>35364.9</v>
      </c>
      <c r="N13" s="6">
        <v>30729.1</v>
      </c>
      <c r="O13" s="6">
        <v>38795</v>
      </c>
      <c r="P13" s="6">
        <v>34887</v>
      </c>
      <c r="Q13" s="6">
        <v>35172</v>
      </c>
      <c r="R13" s="135">
        <v>34159</v>
      </c>
      <c r="S13" s="135">
        <v>35332</v>
      </c>
      <c r="T13" s="135">
        <v>34052</v>
      </c>
      <c r="U13" s="218">
        <v>41985</v>
      </c>
      <c r="V13" s="182">
        <v>36531.11</v>
      </c>
      <c r="W13" s="182">
        <v>33270</v>
      </c>
      <c r="X13" s="182">
        <v>32753.649999999998</v>
      </c>
      <c r="Y13" s="6">
        <v>34251.630000000041</v>
      </c>
      <c r="Z13" s="185">
        <v>33574</v>
      </c>
      <c r="AA13" s="182">
        <v>27701</v>
      </c>
      <c r="AB13" s="182">
        <v>34782.590000000011</v>
      </c>
      <c r="AC13" s="182">
        <v>34080.749999999985</v>
      </c>
      <c r="AD13" s="289">
        <v>28214.55</v>
      </c>
    </row>
    <row r="14" spans="1:30" ht="20.100000000000001" customHeight="1" x14ac:dyDescent="0.2">
      <c r="A14" s="7" t="s">
        <v>22</v>
      </c>
      <c r="B14" s="8"/>
      <c r="C14" s="9"/>
      <c r="D14" s="6"/>
      <c r="E14" s="6"/>
      <c r="F14" s="6"/>
      <c r="G14" s="6"/>
      <c r="H14" s="6"/>
      <c r="I14" s="6"/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219">
        <v>0</v>
      </c>
      <c r="V14" s="152">
        <v>0</v>
      </c>
      <c r="W14" s="152">
        <v>0</v>
      </c>
      <c r="X14" s="152">
        <v>0</v>
      </c>
      <c r="Y14" s="152">
        <v>0</v>
      </c>
      <c r="Z14" s="236">
        <v>0</v>
      </c>
      <c r="AA14" s="152">
        <v>0</v>
      </c>
      <c r="AB14" s="152"/>
      <c r="AC14" s="152">
        <v>0</v>
      </c>
      <c r="AD14" s="152">
        <v>0</v>
      </c>
    </row>
    <row r="15" spans="1:30" ht="20.100000000000001" customHeight="1" x14ac:dyDescent="0.2">
      <c r="A15" s="7" t="s">
        <v>23</v>
      </c>
      <c r="B15" s="8"/>
      <c r="C15" s="9"/>
      <c r="D15" s="6"/>
      <c r="E15" s="6"/>
      <c r="F15" s="6"/>
      <c r="G15" s="6"/>
      <c r="H15" s="6"/>
      <c r="I15" s="6"/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219">
        <v>0</v>
      </c>
      <c r="V15" s="152">
        <v>0</v>
      </c>
      <c r="W15" s="152">
        <v>0</v>
      </c>
      <c r="X15" s="152">
        <v>0</v>
      </c>
      <c r="Y15" s="152">
        <v>0</v>
      </c>
      <c r="Z15" s="236">
        <v>0</v>
      </c>
      <c r="AA15" s="152">
        <v>0</v>
      </c>
      <c r="AB15" s="152"/>
      <c r="AC15" s="152">
        <v>0</v>
      </c>
      <c r="AD15" s="152">
        <v>0</v>
      </c>
    </row>
    <row r="16" spans="1:30" ht="20.100000000000001" customHeight="1" x14ac:dyDescent="0.2">
      <c r="A16" s="256" t="s">
        <v>24</v>
      </c>
      <c r="B16" s="257"/>
      <c r="C16" s="258"/>
      <c r="D16" s="79">
        <v>116898</v>
      </c>
      <c r="E16" s="79">
        <v>113887</v>
      </c>
      <c r="F16" s="79">
        <v>107462</v>
      </c>
      <c r="G16" s="79">
        <v>103640</v>
      </c>
      <c r="H16" s="79">
        <v>84732</v>
      </c>
      <c r="I16" s="79">
        <v>84622</v>
      </c>
      <c r="J16" s="79">
        <f>SUM(J6:J15)</f>
        <v>73735.199999999997</v>
      </c>
      <c r="K16" s="79">
        <f t="shared" ref="K16:R16" si="0">SUM(K6:K15)</f>
        <v>76812.600000000006</v>
      </c>
      <c r="L16" s="79">
        <f t="shared" si="0"/>
        <v>73465.345098039223</v>
      </c>
      <c r="M16" s="79">
        <f t="shared" si="0"/>
        <v>67258.100000000006</v>
      </c>
      <c r="N16" s="79">
        <f t="shared" si="0"/>
        <v>61061.1</v>
      </c>
      <c r="O16" s="79">
        <f t="shared" si="0"/>
        <v>72955</v>
      </c>
      <c r="P16" s="79">
        <f t="shared" si="0"/>
        <v>71183</v>
      </c>
      <c r="Q16" s="79">
        <f t="shared" si="0"/>
        <v>68174</v>
      </c>
      <c r="R16" s="79">
        <f t="shared" si="0"/>
        <v>64588.7</v>
      </c>
      <c r="S16" s="79">
        <f>SUM(S6:S15)</f>
        <v>73256.7</v>
      </c>
      <c r="T16" s="270">
        <v>79903</v>
      </c>
      <c r="U16" s="217">
        <v>81984.179999999993</v>
      </c>
      <c r="V16" s="283">
        <v>72104.540000000008</v>
      </c>
      <c r="W16" s="283">
        <v>69240.34</v>
      </c>
      <c r="X16" s="283">
        <v>71122.289999999994</v>
      </c>
      <c r="Y16" s="283">
        <f>SUM(Y6:Y15)</f>
        <v>73918.770000000033</v>
      </c>
      <c r="Z16" s="283">
        <f>SUM(Z6:Z15)</f>
        <v>74150</v>
      </c>
      <c r="AA16" s="283">
        <f>SUM(AA6:AA15)</f>
        <v>72658</v>
      </c>
      <c r="AB16" s="283">
        <f t="shared" ref="AB16" si="1">SUM(AB6:AB15)</f>
        <v>78530.09</v>
      </c>
      <c r="AC16" s="79">
        <f t="shared" ref="AC16:AD16" si="2">SUM(AC6:AC15)</f>
        <v>71820.23</v>
      </c>
      <c r="AD16" s="290">
        <f t="shared" si="2"/>
        <v>48164.39</v>
      </c>
    </row>
    <row r="17" spans="1:30" ht="20.100000000000001" customHeight="1" x14ac:dyDescent="0.2">
      <c r="A17" s="7" t="s">
        <v>25</v>
      </c>
      <c r="B17" s="8"/>
      <c r="C17" s="9"/>
      <c r="D17" s="6">
        <v>138</v>
      </c>
      <c r="E17" s="6">
        <v>132</v>
      </c>
      <c r="F17" s="6">
        <v>127</v>
      </c>
      <c r="G17" s="6">
        <v>141</v>
      </c>
      <c r="H17" s="6">
        <v>152</v>
      </c>
      <c r="I17" s="6">
        <v>163</v>
      </c>
      <c r="J17" s="6">
        <v>139</v>
      </c>
      <c r="K17" s="6">
        <v>155</v>
      </c>
      <c r="L17" s="63">
        <v>211.8</v>
      </c>
      <c r="M17" s="6">
        <v>272</v>
      </c>
      <c r="N17" s="5">
        <v>329</v>
      </c>
      <c r="O17" s="6">
        <v>300.2</v>
      </c>
      <c r="P17" s="6">
        <v>279</v>
      </c>
      <c r="Q17" s="6">
        <v>184</v>
      </c>
      <c r="R17" s="135">
        <v>120</v>
      </c>
      <c r="S17" s="135">
        <v>100</v>
      </c>
      <c r="T17" s="135">
        <v>90</v>
      </c>
      <c r="U17" s="218">
        <v>30.4</v>
      </c>
      <c r="V17" s="182">
        <v>40.6</v>
      </c>
      <c r="W17" s="182">
        <v>42.3</v>
      </c>
      <c r="X17" s="182">
        <v>97.5</v>
      </c>
      <c r="Y17" s="182">
        <v>55.2</v>
      </c>
      <c r="Z17" s="182">
        <v>0</v>
      </c>
      <c r="AA17" s="182">
        <v>0</v>
      </c>
      <c r="AB17" s="182">
        <v>0</v>
      </c>
      <c r="AC17" s="182">
        <v>0</v>
      </c>
      <c r="AD17" s="182">
        <v>0</v>
      </c>
    </row>
    <row r="18" spans="1:30" ht="20.100000000000001" customHeight="1" x14ac:dyDescent="0.2">
      <c r="A18" s="7" t="s">
        <v>26</v>
      </c>
      <c r="B18" s="8"/>
      <c r="C18" s="9"/>
      <c r="D18" s="6">
        <v>210</v>
      </c>
      <c r="E18" s="6">
        <v>41</v>
      </c>
      <c r="F18" s="6">
        <v>144</v>
      </c>
      <c r="G18" s="6">
        <v>30</v>
      </c>
      <c r="H18" s="6">
        <v>105</v>
      </c>
      <c r="I18" s="6">
        <v>30</v>
      </c>
      <c r="J18" s="6">
        <v>26</v>
      </c>
      <c r="K18" s="6">
        <v>10</v>
      </c>
      <c r="L18" s="63">
        <v>0</v>
      </c>
      <c r="M18" s="5">
        <v>64</v>
      </c>
      <c r="N18" s="5">
        <v>0</v>
      </c>
      <c r="O18" s="5">
        <v>46</v>
      </c>
      <c r="P18" s="5">
        <v>47</v>
      </c>
      <c r="Q18" s="5">
        <v>57</v>
      </c>
      <c r="R18" s="136">
        <v>50</v>
      </c>
      <c r="S18" s="136">
        <v>78</v>
      </c>
      <c r="T18" s="136">
        <v>0</v>
      </c>
      <c r="U18" s="218">
        <v>0</v>
      </c>
      <c r="V18" s="182">
        <v>94.5</v>
      </c>
      <c r="W18" s="182">
        <v>0</v>
      </c>
      <c r="X18" s="182">
        <v>69</v>
      </c>
      <c r="Y18" s="182">
        <v>0</v>
      </c>
      <c r="Z18" s="182">
        <v>19</v>
      </c>
      <c r="AA18" s="182">
        <v>57</v>
      </c>
      <c r="AB18" s="182">
        <v>57</v>
      </c>
      <c r="AC18" s="182">
        <v>68.400000000000006</v>
      </c>
      <c r="AD18" s="289">
        <v>16.3</v>
      </c>
    </row>
    <row r="19" spans="1:30" ht="20.100000000000001" customHeight="1" x14ac:dyDescent="0.2">
      <c r="A19" s="25" t="s">
        <v>27</v>
      </c>
      <c r="B19" s="8"/>
      <c r="C19" s="9"/>
      <c r="D19" s="6"/>
      <c r="E19" s="6"/>
      <c r="F19" s="6"/>
      <c r="G19" s="6"/>
      <c r="H19" s="6"/>
      <c r="I19" s="6"/>
      <c r="J19" s="6">
        <v>0</v>
      </c>
      <c r="K19" s="6">
        <v>0</v>
      </c>
      <c r="L19" s="63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136">
        <v>0</v>
      </c>
      <c r="S19" s="136">
        <v>0</v>
      </c>
      <c r="T19" s="136">
        <v>0</v>
      </c>
      <c r="U19" s="218">
        <v>0</v>
      </c>
      <c r="V19" s="182">
        <v>0</v>
      </c>
      <c r="W19" s="182">
        <v>0</v>
      </c>
      <c r="X19" s="182">
        <v>0</v>
      </c>
      <c r="Y19" s="182">
        <v>0</v>
      </c>
      <c r="Z19" s="182">
        <v>0</v>
      </c>
      <c r="AA19" s="182">
        <v>0</v>
      </c>
      <c r="AB19" s="182"/>
      <c r="AC19" s="182">
        <v>0</v>
      </c>
      <c r="AD19" s="182">
        <v>0</v>
      </c>
    </row>
    <row r="20" spans="1:30" ht="20.100000000000001" customHeight="1" x14ac:dyDescent="0.2">
      <c r="A20" s="7" t="s">
        <v>28</v>
      </c>
      <c r="B20" s="8"/>
      <c r="C20" s="9"/>
      <c r="D20" s="6">
        <v>314</v>
      </c>
      <c r="E20" s="6">
        <v>355</v>
      </c>
      <c r="F20" s="6">
        <v>410</v>
      </c>
      <c r="G20" s="6">
        <v>399</v>
      </c>
      <c r="H20" s="6">
        <v>294</v>
      </c>
      <c r="I20" s="6">
        <v>311</v>
      </c>
      <c r="J20" s="6">
        <v>264</v>
      </c>
      <c r="K20" s="6">
        <v>358.6</v>
      </c>
      <c r="L20" s="63">
        <v>309.89999999999998</v>
      </c>
      <c r="M20" s="23">
        <v>372.3</v>
      </c>
      <c r="N20" s="6">
        <v>485.9</v>
      </c>
      <c r="O20" s="6">
        <v>350.1</v>
      </c>
      <c r="P20" s="6">
        <v>349</v>
      </c>
      <c r="Q20" s="6">
        <v>361</v>
      </c>
      <c r="R20" s="135">
        <v>275.3</v>
      </c>
      <c r="S20" s="135">
        <v>246</v>
      </c>
      <c r="T20" s="135">
        <v>179</v>
      </c>
      <c r="U20" s="218">
        <v>253</v>
      </c>
      <c r="V20" s="182">
        <v>264.3</v>
      </c>
      <c r="W20" s="182">
        <v>358</v>
      </c>
      <c r="X20" s="182">
        <v>496</v>
      </c>
      <c r="Y20" s="6">
        <v>449.3</v>
      </c>
      <c r="Z20" s="185">
        <v>576</v>
      </c>
      <c r="AA20" s="182">
        <v>540</v>
      </c>
      <c r="AB20" s="182">
        <v>532.29999999999995</v>
      </c>
      <c r="AC20" s="182">
        <v>621.29999999999995</v>
      </c>
      <c r="AD20" s="289">
        <v>522.6</v>
      </c>
    </row>
    <row r="21" spans="1:30" ht="20.100000000000001" customHeight="1" x14ac:dyDescent="0.2">
      <c r="A21" s="7" t="s">
        <v>29</v>
      </c>
      <c r="B21" s="8"/>
      <c r="C21" s="9"/>
      <c r="D21" s="6">
        <v>13</v>
      </c>
      <c r="E21" s="6"/>
      <c r="F21" s="6"/>
      <c r="G21" s="6"/>
      <c r="H21" s="6">
        <v>9</v>
      </c>
      <c r="I21" s="6">
        <v>21</v>
      </c>
      <c r="J21" s="6">
        <v>18</v>
      </c>
      <c r="K21" s="6">
        <v>0</v>
      </c>
      <c r="L21" s="63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136">
        <v>11</v>
      </c>
      <c r="S21" s="136">
        <v>11</v>
      </c>
      <c r="T21" s="136">
        <v>11</v>
      </c>
      <c r="U21" s="218">
        <v>0</v>
      </c>
      <c r="V21" s="182">
        <v>0</v>
      </c>
      <c r="W21" s="182">
        <v>9</v>
      </c>
      <c r="X21" s="182">
        <v>27.6</v>
      </c>
      <c r="Y21" s="6">
        <v>18.5</v>
      </c>
      <c r="Z21" s="185">
        <v>24</v>
      </c>
      <c r="AA21" s="182">
        <v>24</v>
      </c>
      <c r="AB21" s="182">
        <v>23.8</v>
      </c>
      <c r="AC21" s="182">
        <v>23.8</v>
      </c>
      <c r="AD21" s="182">
        <v>0</v>
      </c>
    </row>
    <row r="22" spans="1:30" ht="20.100000000000001" customHeight="1" x14ac:dyDescent="0.2">
      <c r="A22" s="120" t="s">
        <v>30</v>
      </c>
      <c r="B22" s="8"/>
      <c r="C22" s="9"/>
      <c r="D22" s="6"/>
      <c r="E22" s="6">
        <v>4</v>
      </c>
      <c r="F22" s="6"/>
      <c r="G22" s="6">
        <v>2</v>
      </c>
      <c r="H22" s="6">
        <v>13</v>
      </c>
      <c r="I22" s="6">
        <v>6</v>
      </c>
      <c r="J22" s="6">
        <v>5</v>
      </c>
      <c r="K22" s="6">
        <v>0</v>
      </c>
      <c r="L22" s="63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136">
        <v>0</v>
      </c>
      <c r="S22" s="136">
        <v>0</v>
      </c>
      <c r="T22" s="136">
        <v>0</v>
      </c>
      <c r="U22" s="218">
        <v>0.7</v>
      </c>
      <c r="V22" s="182">
        <v>0.7</v>
      </c>
      <c r="W22" s="182">
        <v>8.9</v>
      </c>
      <c r="X22" s="182">
        <v>9</v>
      </c>
      <c r="Y22" s="182">
        <v>3.8</v>
      </c>
      <c r="Z22" s="182">
        <v>1</v>
      </c>
      <c r="AA22" s="182">
        <v>0</v>
      </c>
      <c r="AB22" s="182">
        <v>0</v>
      </c>
      <c r="AC22" s="182">
        <v>0</v>
      </c>
      <c r="AD22" s="182">
        <v>0</v>
      </c>
    </row>
    <row r="23" spans="1:30" ht="20.100000000000001" customHeight="1" x14ac:dyDescent="0.2">
      <c r="A23" s="120" t="s">
        <v>31</v>
      </c>
      <c r="B23" s="8"/>
      <c r="C23" s="9"/>
      <c r="D23" s="6">
        <v>25</v>
      </c>
      <c r="E23" s="6">
        <v>16</v>
      </c>
      <c r="F23" s="6"/>
      <c r="G23" s="6">
        <v>9</v>
      </c>
      <c r="H23" s="6">
        <v>9</v>
      </c>
      <c r="I23" s="6">
        <v>9</v>
      </c>
      <c r="J23" s="6">
        <v>8</v>
      </c>
      <c r="K23" s="6"/>
      <c r="L23" s="63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136">
        <v>0</v>
      </c>
      <c r="S23" s="136">
        <v>5</v>
      </c>
      <c r="T23" s="136">
        <v>33</v>
      </c>
      <c r="U23" s="218">
        <v>33</v>
      </c>
      <c r="V23" s="182">
        <v>28</v>
      </c>
      <c r="W23" s="182">
        <v>11.2</v>
      </c>
      <c r="X23" s="182">
        <v>23.1</v>
      </c>
      <c r="Y23" s="6">
        <v>23.1</v>
      </c>
      <c r="Z23" s="185">
        <v>12</v>
      </c>
      <c r="AA23" s="182">
        <v>0</v>
      </c>
      <c r="AB23" s="182">
        <v>0</v>
      </c>
      <c r="AC23" s="182">
        <v>0</v>
      </c>
      <c r="AD23" s="182">
        <v>0</v>
      </c>
    </row>
    <row r="24" spans="1:30" ht="20.100000000000001" customHeight="1" x14ac:dyDescent="0.2">
      <c r="A24" s="7" t="s">
        <v>33</v>
      </c>
      <c r="B24" s="8"/>
      <c r="C24" s="9"/>
      <c r="D24" s="6">
        <v>8987</v>
      </c>
      <c r="E24" s="6">
        <v>8760</v>
      </c>
      <c r="F24" s="6">
        <v>6269</v>
      </c>
      <c r="G24" s="6">
        <v>5117</v>
      </c>
      <c r="H24" s="6">
        <v>5257</v>
      </c>
      <c r="I24" s="6">
        <v>4687</v>
      </c>
      <c r="J24" s="6">
        <v>5000</v>
      </c>
      <c r="K24" s="6">
        <v>4911.7</v>
      </c>
      <c r="L24" s="63">
        <v>4730.8999999999996</v>
      </c>
      <c r="M24" s="6">
        <v>4595.6000000000004</v>
      </c>
      <c r="N24" s="6">
        <v>4630.3999999999996</v>
      </c>
      <c r="O24" s="5">
        <v>4034</v>
      </c>
      <c r="P24" s="5">
        <v>4035</v>
      </c>
      <c r="Q24" s="5">
        <v>3877</v>
      </c>
      <c r="R24" s="136">
        <v>4104</v>
      </c>
      <c r="S24" s="136">
        <v>4632</v>
      </c>
      <c r="T24" s="136">
        <v>4888</v>
      </c>
      <c r="U24" s="218">
        <v>5111</v>
      </c>
      <c r="V24" s="182">
        <v>4795.2</v>
      </c>
      <c r="W24" s="182">
        <v>5086.2</v>
      </c>
      <c r="X24" s="182">
        <v>4731.0999999999995</v>
      </c>
      <c r="Y24" s="182">
        <v>5342</v>
      </c>
      <c r="Z24" s="182">
        <v>5565</v>
      </c>
      <c r="AA24" s="182">
        <v>6070</v>
      </c>
      <c r="AB24" s="182">
        <v>6586.8000000000011</v>
      </c>
      <c r="AC24" s="182">
        <v>7193.7000000000007</v>
      </c>
      <c r="AD24" s="289">
        <v>6604.1999999999989</v>
      </c>
    </row>
    <row r="25" spans="1:30" ht="20.100000000000001" customHeight="1" x14ac:dyDescent="0.2">
      <c r="A25" s="7" t="s">
        <v>60</v>
      </c>
      <c r="B25" s="8"/>
      <c r="C25" s="9"/>
      <c r="D25" s="6">
        <v>662</v>
      </c>
      <c r="E25" s="6">
        <v>968</v>
      </c>
      <c r="F25" s="6">
        <v>930</v>
      </c>
      <c r="G25" s="6">
        <v>666</v>
      </c>
      <c r="H25" s="6">
        <v>527</v>
      </c>
      <c r="I25" s="6">
        <v>444</v>
      </c>
      <c r="J25" s="6">
        <v>377</v>
      </c>
      <c r="K25" s="6">
        <v>550.20000000000005</v>
      </c>
      <c r="L25" s="63">
        <v>539.20000000000005</v>
      </c>
      <c r="M25" s="23">
        <v>393.6</v>
      </c>
      <c r="N25" s="5">
        <v>424</v>
      </c>
      <c r="O25" s="6">
        <v>393</v>
      </c>
      <c r="P25" s="6">
        <v>488</v>
      </c>
      <c r="Q25" s="6">
        <v>547</v>
      </c>
      <c r="R25" s="135">
        <v>498</v>
      </c>
      <c r="S25" s="135">
        <v>641</v>
      </c>
      <c r="T25" s="135">
        <v>699</v>
      </c>
      <c r="U25" s="218">
        <v>613</v>
      </c>
      <c r="V25" s="182">
        <v>636.9</v>
      </c>
      <c r="W25" s="182">
        <v>735</v>
      </c>
      <c r="X25" s="182">
        <v>537.5</v>
      </c>
      <c r="Y25" s="6">
        <v>578.40000000000009</v>
      </c>
      <c r="Z25" s="185">
        <v>736</v>
      </c>
      <c r="AA25" s="182">
        <v>863</v>
      </c>
      <c r="AB25" s="182">
        <v>1102.3</v>
      </c>
      <c r="AC25" s="182">
        <v>946.59999999999991</v>
      </c>
      <c r="AD25" s="289">
        <v>530.19999999999993</v>
      </c>
    </row>
    <row r="26" spans="1:30" ht="20.100000000000001" customHeight="1" x14ac:dyDescent="0.2">
      <c r="A26" s="7" t="s">
        <v>34</v>
      </c>
      <c r="B26" s="8"/>
      <c r="C26" s="9"/>
      <c r="D26" s="6">
        <v>1141</v>
      </c>
      <c r="E26" s="6">
        <v>1463</v>
      </c>
      <c r="F26" s="6">
        <v>1137</v>
      </c>
      <c r="G26" s="6">
        <v>657</v>
      </c>
      <c r="H26" s="6">
        <v>397</v>
      </c>
      <c r="I26" s="6">
        <v>339</v>
      </c>
      <c r="J26" s="6">
        <v>288</v>
      </c>
      <c r="K26" s="6">
        <v>284.7</v>
      </c>
      <c r="L26" s="63">
        <v>0</v>
      </c>
      <c r="M26" s="6">
        <v>142</v>
      </c>
      <c r="N26" s="6">
        <v>148.4</v>
      </c>
      <c r="O26" s="6">
        <v>126.1</v>
      </c>
      <c r="P26" s="6">
        <v>176</v>
      </c>
      <c r="Q26" s="6">
        <v>181</v>
      </c>
      <c r="R26" s="135">
        <v>178.8</v>
      </c>
      <c r="S26" s="135">
        <v>173</v>
      </c>
      <c r="T26" s="135">
        <v>147</v>
      </c>
      <c r="U26" s="218">
        <v>157</v>
      </c>
      <c r="V26" s="182">
        <v>270</v>
      </c>
      <c r="W26" s="182">
        <v>196.4</v>
      </c>
      <c r="X26" s="182">
        <v>189.1</v>
      </c>
      <c r="Y26" s="6">
        <v>255.2</v>
      </c>
      <c r="Z26" s="185">
        <v>340</v>
      </c>
      <c r="AA26" s="182">
        <v>377</v>
      </c>
      <c r="AB26" s="182">
        <v>535.79999999999995</v>
      </c>
      <c r="AC26" s="182">
        <v>575.70000000000005</v>
      </c>
      <c r="AD26" s="289">
        <v>423.9</v>
      </c>
    </row>
    <row r="27" spans="1:30" ht="20.100000000000001" customHeight="1" x14ac:dyDescent="0.2">
      <c r="A27" s="7" t="s">
        <v>35</v>
      </c>
      <c r="B27" s="8"/>
      <c r="C27" s="9"/>
      <c r="D27" s="6"/>
      <c r="E27" s="6"/>
      <c r="F27" s="6">
        <v>9</v>
      </c>
      <c r="G27" s="6">
        <v>6</v>
      </c>
      <c r="H27" s="6"/>
      <c r="I27" s="6"/>
      <c r="J27" s="6">
        <v>0</v>
      </c>
      <c r="K27" s="6">
        <v>0</v>
      </c>
      <c r="L27" s="63">
        <v>1.6</v>
      </c>
      <c r="M27" s="6">
        <v>2</v>
      </c>
      <c r="N27" s="5">
        <v>0</v>
      </c>
      <c r="O27" s="5">
        <v>0</v>
      </c>
      <c r="P27" s="5">
        <v>0</v>
      </c>
      <c r="Q27" s="5">
        <v>1</v>
      </c>
      <c r="R27" s="136">
        <v>22</v>
      </c>
      <c r="S27" s="136">
        <v>15</v>
      </c>
      <c r="T27" s="136">
        <v>60</v>
      </c>
      <c r="U27" s="218">
        <v>92.1</v>
      </c>
      <c r="V27" s="182">
        <v>78.5</v>
      </c>
      <c r="W27" s="182">
        <v>32.1</v>
      </c>
      <c r="X27" s="182">
        <v>47</v>
      </c>
      <c r="Y27" s="6">
        <v>97.7</v>
      </c>
      <c r="Z27" s="185">
        <v>78</v>
      </c>
      <c r="AA27" s="182">
        <v>74</v>
      </c>
      <c r="AB27" s="182">
        <v>95.4</v>
      </c>
      <c r="AC27" s="182">
        <v>81.800000000000011</v>
      </c>
      <c r="AD27" s="182">
        <v>0</v>
      </c>
    </row>
    <row r="28" spans="1:30" ht="20.100000000000001" customHeight="1" x14ac:dyDescent="0.2">
      <c r="A28" s="256" t="s">
        <v>36</v>
      </c>
      <c r="B28" s="257"/>
      <c r="C28" s="258"/>
      <c r="D28" s="79">
        <v>11490</v>
      </c>
      <c r="E28" s="79">
        <v>11739</v>
      </c>
      <c r="F28" s="79">
        <v>9026</v>
      </c>
      <c r="G28" s="79">
        <v>7025</v>
      </c>
      <c r="H28" s="79">
        <v>8138</v>
      </c>
      <c r="I28" s="79">
        <v>6820</v>
      </c>
      <c r="J28" s="79">
        <f>SUM(J17:J27)</f>
        <v>6125</v>
      </c>
      <c r="K28" s="79">
        <f t="shared" ref="K28:R28" si="3">SUM(K17:K27)</f>
        <v>6270.2</v>
      </c>
      <c r="L28" s="79">
        <f t="shared" si="3"/>
        <v>5793.4</v>
      </c>
      <c r="M28" s="79">
        <f t="shared" si="3"/>
        <v>5841.5000000000009</v>
      </c>
      <c r="N28" s="79">
        <f t="shared" si="3"/>
        <v>6017.6999999999989</v>
      </c>
      <c r="O28" s="79">
        <f t="shared" si="3"/>
        <v>5249.4000000000005</v>
      </c>
      <c r="P28" s="79">
        <f t="shared" si="3"/>
        <v>5374</v>
      </c>
      <c r="Q28" s="79">
        <f t="shared" si="3"/>
        <v>5208</v>
      </c>
      <c r="R28" s="79">
        <f t="shared" si="3"/>
        <v>5259.1</v>
      </c>
      <c r="S28" s="79">
        <f>SUM(S17:S27)</f>
        <v>5901</v>
      </c>
      <c r="T28" s="270">
        <v>6107</v>
      </c>
      <c r="U28" s="217">
        <v>6290.2000000000007</v>
      </c>
      <c r="V28" s="283">
        <v>6208.7</v>
      </c>
      <c r="W28" s="283">
        <v>6479.0999999999995</v>
      </c>
      <c r="X28" s="283">
        <v>6226.9</v>
      </c>
      <c r="Y28" s="283">
        <f>SUM(Y17:Y27)</f>
        <v>6823.1999999999989</v>
      </c>
      <c r="Z28" s="283">
        <f>SUM(Z17:Z27)</f>
        <v>7351</v>
      </c>
      <c r="AA28" s="283">
        <f>SUM(AA17:AA27)</f>
        <v>8005</v>
      </c>
      <c r="AB28" s="283">
        <f t="shared" ref="AB28" si="4">SUM(AB17:AB27)</f>
        <v>8933.4</v>
      </c>
      <c r="AC28" s="79">
        <f t="shared" ref="AC28:AD28" si="5">SUM(AC17:AC27)</f>
        <v>9511.3000000000011</v>
      </c>
      <c r="AD28" s="291">
        <f t="shared" si="5"/>
        <v>8097.199999999998</v>
      </c>
    </row>
    <row r="29" spans="1:30" ht="20.100000000000001" customHeight="1" x14ac:dyDescent="0.2">
      <c r="A29" s="7" t="s">
        <v>37</v>
      </c>
      <c r="B29" s="8"/>
      <c r="C29" s="9"/>
      <c r="D29" s="6">
        <v>24</v>
      </c>
      <c r="E29" s="6">
        <v>24</v>
      </c>
      <c r="F29" s="6">
        <v>49</v>
      </c>
      <c r="G29" s="6">
        <v>103</v>
      </c>
      <c r="H29" s="6">
        <v>125</v>
      </c>
      <c r="I29" s="6">
        <v>81</v>
      </c>
      <c r="J29" s="6">
        <v>69</v>
      </c>
      <c r="K29" s="6">
        <v>31</v>
      </c>
      <c r="L29" s="63">
        <v>29.1</v>
      </c>
      <c r="M29" s="6">
        <v>50.5</v>
      </c>
      <c r="N29" s="5">
        <v>80</v>
      </c>
      <c r="O29" s="6">
        <v>87</v>
      </c>
      <c r="P29" s="6">
        <v>108</v>
      </c>
      <c r="Q29" s="6">
        <v>78</v>
      </c>
      <c r="R29" s="135">
        <v>124</v>
      </c>
      <c r="S29" s="135">
        <v>169</v>
      </c>
      <c r="T29" s="135">
        <v>184</v>
      </c>
      <c r="U29" s="218">
        <v>188</v>
      </c>
      <c r="V29" s="182">
        <v>101</v>
      </c>
      <c r="W29" s="182">
        <v>69.400000000000006</v>
      </c>
      <c r="X29" s="182">
        <v>86</v>
      </c>
      <c r="Y29" s="221">
        <v>134.5</v>
      </c>
      <c r="Z29" s="233">
        <v>94</v>
      </c>
      <c r="AA29" s="182">
        <v>96</v>
      </c>
      <c r="AB29" s="182">
        <v>53.400000000000006</v>
      </c>
      <c r="AC29" s="182">
        <v>32.299999999999997</v>
      </c>
      <c r="AD29" s="289">
        <v>22.5</v>
      </c>
    </row>
    <row r="30" spans="1:30" ht="20.100000000000001" customHeight="1" x14ac:dyDescent="0.2">
      <c r="A30" s="10" t="s">
        <v>38</v>
      </c>
      <c r="B30" s="11"/>
      <c r="C30" s="12"/>
      <c r="D30" s="6">
        <v>100</v>
      </c>
      <c r="E30" s="6">
        <v>116</v>
      </c>
      <c r="F30" s="6">
        <v>109</v>
      </c>
      <c r="G30" s="6">
        <v>11</v>
      </c>
      <c r="H30" s="6">
        <v>59</v>
      </c>
      <c r="I30" s="6">
        <v>85</v>
      </c>
      <c r="J30" s="6">
        <v>72</v>
      </c>
      <c r="K30" s="6">
        <v>74</v>
      </c>
      <c r="L30" s="63">
        <v>100.8</v>
      </c>
      <c r="M30" s="23">
        <v>61.8</v>
      </c>
      <c r="N30" s="5">
        <v>68</v>
      </c>
      <c r="O30" s="6">
        <v>50.4</v>
      </c>
      <c r="P30" s="6">
        <v>14</v>
      </c>
      <c r="Q30" s="6">
        <v>33</v>
      </c>
      <c r="R30" s="135">
        <v>25</v>
      </c>
      <c r="S30" s="135">
        <v>52</v>
      </c>
      <c r="T30" s="135">
        <v>128</v>
      </c>
      <c r="U30" s="218">
        <v>75.599999999999994</v>
      </c>
      <c r="V30" s="182">
        <v>27.4</v>
      </c>
      <c r="W30" s="182">
        <v>0</v>
      </c>
      <c r="X30" s="182">
        <v>0</v>
      </c>
      <c r="Y30" s="222">
        <v>0</v>
      </c>
      <c r="Z30" s="222">
        <v>0</v>
      </c>
      <c r="AA30" s="182">
        <v>0</v>
      </c>
      <c r="AB30" s="182">
        <v>0</v>
      </c>
      <c r="AC30" s="222">
        <v>0</v>
      </c>
      <c r="AD30" s="222">
        <v>0</v>
      </c>
    </row>
    <row r="31" spans="1:30" ht="20.100000000000001" customHeight="1" x14ac:dyDescent="0.2">
      <c r="A31" s="7" t="s">
        <v>39</v>
      </c>
      <c r="B31" s="8"/>
      <c r="C31" s="9"/>
      <c r="D31" s="6"/>
      <c r="E31" s="6"/>
      <c r="F31" s="6"/>
      <c r="G31" s="6"/>
      <c r="H31" s="6"/>
      <c r="I31" s="6"/>
      <c r="J31" s="6">
        <v>0</v>
      </c>
      <c r="K31" s="6">
        <v>0</v>
      </c>
      <c r="L31" s="63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136">
        <v>0</v>
      </c>
      <c r="S31" s="136">
        <v>0</v>
      </c>
      <c r="T31" s="136">
        <v>0</v>
      </c>
      <c r="U31" s="218">
        <v>0</v>
      </c>
      <c r="V31" s="182">
        <v>0</v>
      </c>
      <c r="W31" s="182">
        <v>0</v>
      </c>
      <c r="X31" s="182">
        <v>0</v>
      </c>
      <c r="Y31" s="222">
        <v>0</v>
      </c>
      <c r="Z31" s="222">
        <v>0</v>
      </c>
      <c r="AA31" s="182">
        <v>0</v>
      </c>
      <c r="AB31" s="182"/>
      <c r="AC31" s="182"/>
      <c r="AD31" s="289"/>
    </row>
    <row r="32" spans="1:30" ht="20.100000000000001" customHeight="1" x14ac:dyDescent="0.2">
      <c r="A32" s="10" t="s">
        <v>40</v>
      </c>
      <c r="B32" s="8"/>
      <c r="C32" s="9"/>
      <c r="D32" s="6">
        <v>190</v>
      </c>
      <c r="E32" s="6">
        <v>39</v>
      </c>
      <c r="F32" s="6">
        <v>50</v>
      </c>
      <c r="G32" s="6">
        <v>148</v>
      </c>
      <c r="H32" s="6">
        <v>29</v>
      </c>
      <c r="I32" s="6">
        <v>110</v>
      </c>
      <c r="J32" s="6">
        <v>94</v>
      </c>
      <c r="K32" s="6">
        <v>126</v>
      </c>
      <c r="L32" s="63">
        <v>68.8</v>
      </c>
      <c r="M32" s="23">
        <v>121.9</v>
      </c>
      <c r="N32" s="5">
        <v>88</v>
      </c>
      <c r="O32" s="6">
        <v>126</v>
      </c>
      <c r="P32" s="6">
        <v>116</v>
      </c>
      <c r="Q32" s="6">
        <v>107</v>
      </c>
      <c r="R32" s="135">
        <v>68</v>
      </c>
      <c r="S32" s="135">
        <v>135</v>
      </c>
      <c r="T32" s="135">
        <v>86</v>
      </c>
      <c r="U32" s="218">
        <v>92.3</v>
      </c>
      <c r="V32" s="182">
        <v>137.80000000000001</v>
      </c>
      <c r="W32" s="182">
        <v>147.69999999999999</v>
      </c>
      <c r="X32" s="182">
        <v>125.5</v>
      </c>
      <c r="Y32" s="221">
        <v>74.400000000000006</v>
      </c>
      <c r="Z32" s="233">
        <v>94</v>
      </c>
      <c r="AA32" s="182">
        <v>95</v>
      </c>
      <c r="AB32" s="182">
        <v>87.1</v>
      </c>
      <c r="AC32" s="182">
        <v>44.6</v>
      </c>
      <c r="AD32" s="289">
        <v>88</v>
      </c>
    </row>
    <row r="33" spans="1:30" ht="20.100000000000001" customHeight="1" x14ac:dyDescent="0.2">
      <c r="A33" s="7" t="s">
        <v>41</v>
      </c>
      <c r="B33" s="8"/>
      <c r="C33" s="9"/>
      <c r="D33" s="6">
        <v>5711</v>
      </c>
      <c r="E33" s="6">
        <v>6632</v>
      </c>
      <c r="F33" s="6">
        <v>5593</v>
      </c>
      <c r="G33" s="6">
        <v>5551</v>
      </c>
      <c r="H33" s="6">
        <v>7214</v>
      </c>
      <c r="I33" s="6">
        <v>6971</v>
      </c>
      <c r="J33" s="6">
        <v>6500</v>
      </c>
      <c r="K33" s="6">
        <v>7112.3</v>
      </c>
      <c r="L33" s="63">
        <v>7394.8</v>
      </c>
      <c r="M33" s="6">
        <v>6643</v>
      </c>
      <c r="N33" s="63">
        <v>1906.6</v>
      </c>
      <c r="O33" s="5">
        <v>5056</v>
      </c>
      <c r="P33" s="5">
        <v>6113</v>
      </c>
      <c r="Q33" s="5">
        <v>5317</v>
      </c>
      <c r="R33" s="136">
        <v>5214</v>
      </c>
      <c r="S33" s="136">
        <v>4511</v>
      </c>
      <c r="T33" s="136">
        <v>5702</v>
      </c>
      <c r="U33" s="218">
        <v>5922.1</v>
      </c>
      <c r="V33" s="182">
        <v>8598</v>
      </c>
      <c r="W33" s="182">
        <v>7068.5</v>
      </c>
      <c r="X33" s="182">
        <v>6868.5</v>
      </c>
      <c r="Y33" s="222">
        <v>6374</v>
      </c>
      <c r="Z33" s="222">
        <v>6556</v>
      </c>
      <c r="AA33" s="182">
        <v>7984</v>
      </c>
      <c r="AB33" s="182">
        <v>10098.199999999999</v>
      </c>
      <c r="AC33" s="182">
        <v>9516.5</v>
      </c>
      <c r="AD33" s="289">
        <v>6022.5</v>
      </c>
    </row>
    <row r="34" spans="1:30" ht="20.100000000000001" customHeight="1" x14ac:dyDescent="0.2">
      <c r="A34" s="7" t="s">
        <v>42</v>
      </c>
      <c r="B34" s="8"/>
      <c r="C34" s="9"/>
      <c r="D34" s="6"/>
      <c r="E34" s="6"/>
      <c r="F34" s="6"/>
      <c r="G34" s="6">
        <v>178</v>
      </c>
      <c r="H34" s="6"/>
      <c r="I34" s="6"/>
      <c r="J34" s="6">
        <v>1740</v>
      </c>
      <c r="K34" s="6">
        <v>615</v>
      </c>
      <c r="L34" s="63">
        <v>447</v>
      </c>
      <c r="M34" s="5">
        <v>416</v>
      </c>
      <c r="N34" s="5">
        <v>254</v>
      </c>
      <c r="O34" s="5">
        <v>169</v>
      </c>
      <c r="P34" s="5">
        <v>146</v>
      </c>
      <c r="Q34" s="5">
        <v>192</v>
      </c>
      <c r="R34" s="136">
        <v>147</v>
      </c>
      <c r="S34" s="136">
        <v>82</v>
      </c>
      <c r="T34" s="136">
        <v>78</v>
      </c>
      <c r="U34" s="218">
        <v>63.1</v>
      </c>
      <c r="V34" s="182">
        <v>83.4</v>
      </c>
      <c r="W34" s="182">
        <v>140.1</v>
      </c>
      <c r="X34" s="182">
        <v>152.80000000000001</v>
      </c>
      <c r="Y34" s="222">
        <v>128</v>
      </c>
      <c r="Z34" s="222">
        <v>35</v>
      </c>
      <c r="AA34" s="182">
        <v>132</v>
      </c>
      <c r="AB34" s="182">
        <v>70.8</v>
      </c>
      <c r="AC34" s="182">
        <v>0</v>
      </c>
      <c r="AD34" s="289">
        <v>8</v>
      </c>
    </row>
    <row r="35" spans="1:30" ht="20.100000000000001" customHeight="1" x14ac:dyDescent="0.2">
      <c r="A35" s="7" t="s">
        <v>43</v>
      </c>
      <c r="B35" s="8"/>
      <c r="C35" s="9"/>
      <c r="D35" s="6">
        <v>7845</v>
      </c>
      <c r="E35" s="6">
        <v>9307</v>
      </c>
      <c r="F35" s="6">
        <v>7612</v>
      </c>
      <c r="G35" s="6">
        <v>5892</v>
      </c>
      <c r="H35" s="6">
        <v>6551</v>
      </c>
      <c r="I35" s="6">
        <v>5098</v>
      </c>
      <c r="J35" s="6">
        <v>5000</v>
      </c>
      <c r="K35" s="6">
        <v>5076</v>
      </c>
      <c r="L35" s="63">
        <v>4860.3999999999996</v>
      </c>
      <c r="M35" s="150">
        <v>3875</v>
      </c>
      <c r="N35" s="5">
        <v>3392</v>
      </c>
      <c r="O35" s="5">
        <v>3161</v>
      </c>
      <c r="P35" s="5">
        <v>4320</v>
      </c>
      <c r="Q35" s="5">
        <v>4825</v>
      </c>
      <c r="R35" s="136">
        <v>3578</v>
      </c>
      <c r="S35" s="136">
        <v>2563</v>
      </c>
      <c r="T35" s="136">
        <v>2982</v>
      </c>
      <c r="U35" s="218">
        <v>2859.7</v>
      </c>
      <c r="V35" s="182">
        <v>4286.2</v>
      </c>
      <c r="W35" s="182">
        <v>4566</v>
      </c>
      <c r="X35" s="182">
        <v>4522.3</v>
      </c>
      <c r="Y35" s="222">
        <v>3455</v>
      </c>
      <c r="Z35" s="222">
        <v>3046</v>
      </c>
      <c r="AA35" s="182">
        <v>4219</v>
      </c>
      <c r="AB35" s="182">
        <v>4962.8999999999996</v>
      </c>
      <c r="AC35" s="182">
        <v>4261.2999999999993</v>
      </c>
      <c r="AD35" s="289">
        <v>1970.9999999999998</v>
      </c>
    </row>
    <row r="36" spans="1:30" ht="20.100000000000001" customHeight="1" x14ac:dyDescent="0.2">
      <c r="A36" s="7" t="s">
        <v>44</v>
      </c>
      <c r="B36" s="8"/>
      <c r="C36" s="9"/>
      <c r="D36" s="6"/>
      <c r="E36" s="6"/>
      <c r="F36" s="6">
        <v>1</v>
      </c>
      <c r="G36" s="6"/>
      <c r="H36" s="6"/>
      <c r="I36" s="6"/>
      <c r="J36" s="6">
        <v>0</v>
      </c>
      <c r="K36" s="6">
        <v>0</v>
      </c>
      <c r="L36" s="63">
        <v>0</v>
      </c>
      <c r="M36" s="5">
        <v>5</v>
      </c>
      <c r="N36" s="5">
        <v>0</v>
      </c>
      <c r="O36" s="5">
        <v>0</v>
      </c>
      <c r="P36" s="5">
        <v>0</v>
      </c>
      <c r="Q36" s="5">
        <v>0</v>
      </c>
      <c r="R36" s="136">
        <v>0</v>
      </c>
      <c r="S36" s="135">
        <v>0</v>
      </c>
      <c r="T36" s="135">
        <v>0</v>
      </c>
      <c r="U36" s="218">
        <v>16.5</v>
      </c>
      <c r="V36" s="182">
        <v>0</v>
      </c>
      <c r="W36" s="182">
        <v>0</v>
      </c>
      <c r="X36" s="182">
        <v>403</v>
      </c>
      <c r="Y36" s="222">
        <v>0</v>
      </c>
      <c r="Z36" s="222">
        <v>0</v>
      </c>
      <c r="AA36" s="182">
        <v>457</v>
      </c>
      <c r="AB36" s="182">
        <v>81.599999999999994</v>
      </c>
      <c r="AC36" s="182">
        <v>0</v>
      </c>
      <c r="AD36" s="182">
        <v>0</v>
      </c>
    </row>
    <row r="37" spans="1:30" ht="20.100000000000001" customHeight="1" x14ac:dyDescent="0.2">
      <c r="A37" s="256" t="s">
        <v>45</v>
      </c>
      <c r="B37" s="257"/>
      <c r="C37" s="258"/>
      <c r="D37" s="79">
        <v>13870</v>
      </c>
      <c r="E37" s="79">
        <v>16118</v>
      </c>
      <c r="F37" s="79">
        <v>13414</v>
      </c>
      <c r="G37" s="79">
        <v>11883</v>
      </c>
      <c r="H37" s="79">
        <f>SUM(H29:H35)</f>
        <v>13978</v>
      </c>
      <c r="I37" s="79">
        <v>12345</v>
      </c>
      <c r="J37" s="79">
        <f>SUM(J29:J36)</f>
        <v>13475</v>
      </c>
      <c r="K37" s="79">
        <f t="shared" ref="K37:R37" si="6">SUM(K29:K36)</f>
        <v>13034.3</v>
      </c>
      <c r="L37" s="79">
        <f t="shared" si="6"/>
        <v>12900.9</v>
      </c>
      <c r="M37" s="79">
        <f t="shared" si="6"/>
        <v>11173.2</v>
      </c>
      <c r="N37" s="79">
        <f t="shared" si="6"/>
        <v>5788.6</v>
      </c>
      <c r="O37" s="79">
        <f t="shared" si="6"/>
        <v>8649.4</v>
      </c>
      <c r="P37" s="79">
        <f t="shared" si="6"/>
        <v>10817</v>
      </c>
      <c r="Q37" s="79">
        <f t="shared" si="6"/>
        <v>10552</v>
      </c>
      <c r="R37" s="79">
        <f t="shared" si="6"/>
        <v>9156</v>
      </c>
      <c r="S37" s="79">
        <f>SUM(S29:S36)</f>
        <v>7512</v>
      </c>
      <c r="T37" s="270">
        <v>9160</v>
      </c>
      <c r="U37" s="217">
        <v>9217.2999999999993</v>
      </c>
      <c r="V37" s="283">
        <v>13233.8</v>
      </c>
      <c r="W37" s="283">
        <v>11991.7</v>
      </c>
      <c r="X37" s="283">
        <v>12158.1</v>
      </c>
      <c r="Y37" s="284">
        <f>SUM(Y29:Y36)</f>
        <v>10165.9</v>
      </c>
      <c r="Z37" s="284">
        <f>SUM(Z29:Z36)</f>
        <v>9825</v>
      </c>
      <c r="AA37" s="284">
        <f>SUM(AA29:AA36)</f>
        <v>12983</v>
      </c>
      <c r="AB37" s="284">
        <f t="shared" ref="AB37" si="7">SUM(AB29:AB36)</f>
        <v>15353.999999999998</v>
      </c>
      <c r="AC37" s="79">
        <f t="shared" ref="AC37:AD37" si="8">SUM(AC29:AC36)</f>
        <v>13854.699999999999</v>
      </c>
      <c r="AD37" s="291">
        <f t="shared" si="8"/>
        <v>8112</v>
      </c>
    </row>
    <row r="38" spans="1:30" ht="20.100000000000001" customHeight="1" x14ac:dyDescent="0.2">
      <c r="A38" s="7" t="s">
        <v>64</v>
      </c>
      <c r="B38" s="8"/>
      <c r="C38" s="9"/>
      <c r="D38" s="6">
        <v>2428</v>
      </c>
      <c r="E38" s="6">
        <v>1961</v>
      </c>
      <c r="F38" s="5">
        <v>866</v>
      </c>
      <c r="G38" s="5">
        <v>763</v>
      </c>
      <c r="H38" s="5">
        <v>750</v>
      </c>
      <c r="I38" s="5">
        <v>750</v>
      </c>
      <c r="J38" s="5">
        <v>51</v>
      </c>
      <c r="K38" s="5">
        <v>0</v>
      </c>
      <c r="L38" s="63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136">
        <v>0</v>
      </c>
      <c r="S38" s="138">
        <v>0</v>
      </c>
      <c r="T38" s="138">
        <v>0</v>
      </c>
      <c r="U38" s="218">
        <v>0</v>
      </c>
      <c r="V38" s="181">
        <v>0</v>
      </c>
      <c r="W38" s="181">
        <v>0</v>
      </c>
      <c r="X38" s="181">
        <v>0</v>
      </c>
      <c r="Y38" s="223">
        <v>0</v>
      </c>
      <c r="Z38" s="223">
        <v>0</v>
      </c>
      <c r="AA38" s="181">
        <v>0</v>
      </c>
      <c r="AB38" s="182">
        <v>0</v>
      </c>
      <c r="AC38" s="223">
        <v>0</v>
      </c>
      <c r="AD38" s="223">
        <v>0</v>
      </c>
    </row>
    <row r="39" spans="1:30" ht="20.100000000000001" customHeight="1" x14ac:dyDescent="0.2">
      <c r="A39" s="7" t="s">
        <v>47</v>
      </c>
      <c r="B39" s="8"/>
      <c r="C39" s="9"/>
      <c r="D39" s="6">
        <v>15250</v>
      </c>
      <c r="E39" s="6">
        <v>14154</v>
      </c>
      <c r="F39" s="6">
        <v>9499</v>
      </c>
      <c r="G39" s="6">
        <v>2066</v>
      </c>
      <c r="H39" s="5">
        <v>2000</v>
      </c>
      <c r="I39" s="5">
        <v>2000</v>
      </c>
      <c r="J39" s="5">
        <v>3621</v>
      </c>
      <c r="K39" s="5">
        <v>3249</v>
      </c>
      <c r="L39" s="63">
        <v>2798.5</v>
      </c>
      <c r="M39" s="23">
        <v>2113</v>
      </c>
      <c r="N39" s="5">
        <v>723</v>
      </c>
      <c r="O39" s="5">
        <v>871</v>
      </c>
      <c r="P39" s="5">
        <v>2459</v>
      </c>
      <c r="Q39" s="5">
        <v>2870</v>
      </c>
      <c r="R39" s="136">
        <v>2163</v>
      </c>
      <c r="S39" s="138">
        <v>1485</v>
      </c>
      <c r="T39" s="138">
        <v>1712</v>
      </c>
      <c r="U39" s="218">
        <v>1181.7</v>
      </c>
      <c r="V39" s="181">
        <v>1683.8</v>
      </c>
      <c r="W39" s="181">
        <v>2312.9</v>
      </c>
      <c r="X39" s="181">
        <v>2361.0800000000004</v>
      </c>
      <c r="Y39" s="221">
        <v>1902.9999999999998</v>
      </c>
      <c r="Z39" s="233">
        <v>1458</v>
      </c>
      <c r="AA39" s="181">
        <v>2196</v>
      </c>
      <c r="AB39" s="181">
        <v>2781.3999999999996</v>
      </c>
      <c r="AC39" s="181">
        <v>2062.4</v>
      </c>
      <c r="AD39" s="289">
        <v>402.2</v>
      </c>
    </row>
    <row r="40" spans="1:30" ht="20.100000000000001" customHeight="1" x14ac:dyDescent="0.2">
      <c r="A40" s="120" t="s">
        <v>48</v>
      </c>
      <c r="B40" s="8"/>
      <c r="C40" s="9"/>
      <c r="D40" s="6">
        <v>2806</v>
      </c>
      <c r="E40" s="6">
        <v>2813</v>
      </c>
      <c r="F40" s="6">
        <v>2617</v>
      </c>
      <c r="G40" s="6">
        <v>1751</v>
      </c>
      <c r="H40" s="5">
        <v>1848</v>
      </c>
      <c r="I40" s="5">
        <v>1704</v>
      </c>
      <c r="J40" s="312">
        <v>1724</v>
      </c>
      <c r="K40" s="312">
        <v>2136</v>
      </c>
      <c r="L40" s="323">
        <v>2278</v>
      </c>
      <c r="M40" s="312">
        <v>1551</v>
      </c>
      <c r="N40" s="323">
        <v>1079</v>
      </c>
      <c r="O40" s="312">
        <v>1081</v>
      </c>
      <c r="P40" s="312">
        <v>1122</v>
      </c>
      <c r="Q40" s="312">
        <v>902</v>
      </c>
      <c r="R40" s="314">
        <v>990</v>
      </c>
      <c r="S40" s="316">
        <v>870</v>
      </c>
      <c r="T40" s="316">
        <v>901</v>
      </c>
      <c r="U40" s="320">
        <v>764.9</v>
      </c>
      <c r="V40" s="310">
        <v>423.4</v>
      </c>
      <c r="W40" s="310">
        <v>472.7</v>
      </c>
      <c r="X40" s="310">
        <v>473.5</v>
      </c>
      <c r="Y40" s="322">
        <v>520.4</v>
      </c>
      <c r="Z40" s="319">
        <v>716</v>
      </c>
      <c r="AA40" s="310">
        <v>899</v>
      </c>
      <c r="AB40" s="310">
        <v>293.5</v>
      </c>
      <c r="AC40" s="310">
        <v>291.3</v>
      </c>
      <c r="AD40" s="308">
        <v>282</v>
      </c>
    </row>
    <row r="41" spans="1:30" ht="20.100000000000001" customHeight="1" x14ac:dyDescent="0.2">
      <c r="A41" s="120" t="s">
        <v>49</v>
      </c>
      <c r="B41" s="8"/>
      <c r="C41" s="9"/>
      <c r="D41" s="6"/>
      <c r="E41" s="6"/>
      <c r="F41" s="6"/>
      <c r="G41" s="5"/>
      <c r="H41" s="5"/>
      <c r="I41" s="5"/>
      <c r="J41" s="313"/>
      <c r="K41" s="313"/>
      <c r="L41" s="324"/>
      <c r="M41" s="313"/>
      <c r="N41" s="324"/>
      <c r="O41" s="313"/>
      <c r="P41" s="313"/>
      <c r="Q41" s="313"/>
      <c r="R41" s="315"/>
      <c r="S41" s="317"/>
      <c r="T41" s="317"/>
      <c r="U41" s="321"/>
      <c r="V41" s="321"/>
      <c r="W41" s="321"/>
      <c r="X41" s="321"/>
      <c r="Y41" s="322"/>
      <c r="Z41" s="319"/>
      <c r="AA41" s="318"/>
      <c r="AB41" s="311"/>
      <c r="AC41" s="311"/>
      <c r="AD41" s="309"/>
    </row>
    <row r="42" spans="1:30" ht="20.100000000000001" customHeight="1" x14ac:dyDescent="0.2">
      <c r="A42" s="7" t="s">
        <v>50</v>
      </c>
      <c r="B42" s="8"/>
      <c r="C42" s="9"/>
      <c r="D42" s="5"/>
      <c r="E42" s="5"/>
      <c r="F42" s="5"/>
      <c r="G42" s="5"/>
      <c r="H42" s="5"/>
      <c r="I42" s="5"/>
      <c r="J42" s="5">
        <v>0</v>
      </c>
      <c r="K42" s="5">
        <v>0</v>
      </c>
      <c r="L42" s="63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136">
        <v>0</v>
      </c>
      <c r="S42" s="138">
        <v>0</v>
      </c>
      <c r="T42" s="138">
        <v>0</v>
      </c>
      <c r="U42" s="218">
        <v>0</v>
      </c>
      <c r="V42" s="181">
        <v>0</v>
      </c>
      <c r="W42" s="181">
        <v>0</v>
      </c>
      <c r="X42" s="181">
        <v>0</v>
      </c>
      <c r="Y42" s="223">
        <v>0</v>
      </c>
      <c r="Z42" s="223">
        <v>0</v>
      </c>
      <c r="AA42" s="181">
        <v>0</v>
      </c>
      <c r="AB42" s="182"/>
      <c r="AC42" s="223"/>
      <c r="AD42" s="223"/>
    </row>
    <row r="43" spans="1:30" ht="20.100000000000001" customHeight="1" x14ac:dyDescent="0.2">
      <c r="A43" s="7" t="s">
        <v>51</v>
      </c>
      <c r="B43" s="8"/>
      <c r="C43" s="9"/>
      <c r="D43" s="5"/>
      <c r="E43" s="5"/>
      <c r="F43" s="5"/>
      <c r="G43" s="5"/>
      <c r="H43" s="5"/>
      <c r="I43" s="5"/>
      <c r="J43" s="5"/>
      <c r="K43" s="5"/>
      <c r="L43" s="63">
        <v>0</v>
      </c>
      <c r="M43" s="5">
        <v>0</v>
      </c>
      <c r="N43" s="5">
        <v>14108</v>
      </c>
      <c r="O43" s="5">
        <v>14358</v>
      </c>
      <c r="P43" s="5">
        <v>14863</v>
      </c>
      <c r="Q43" s="5">
        <v>15097</v>
      </c>
      <c r="R43" s="136">
        <v>14944</v>
      </c>
      <c r="S43" s="138">
        <v>14509</v>
      </c>
      <c r="T43" s="138">
        <v>14189</v>
      </c>
      <c r="U43" s="182">
        <v>3443</v>
      </c>
      <c r="V43" s="182">
        <v>3335</v>
      </c>
      <c r="W43" s="182"/>
      <c r="X43" s="182">
        <v>3843</v>
      </c>
      <c r="Y43" s="222">
        <v>3843</v>
      </c>
      <c r="Z43" s="222"/>
      <c r="AA43" s="182"/>
      <c r="AB43" s="182"/>
      <c r="AC43" s="182"/>
      <c r="AD43" s="289"/>
    </row>
    <row r="44" spans="1:30" ht="20.100000000000001" customHeight="1" x14ac:dyDescent="0.2">
      <c r="A44" s="7" t="s">
        <v>52</v>
      </c>
      <c r="B44" s="8"/>
      <c r="C44" s="9"/>
      <c r="D44" s="5"/>
      <c r="E44" s="5"/>
      <c r="F44" s="5"/>
      <c r="G44" s="5"/>
      <c r="H44" s="5">
        <v>1058</v>
      </c>
      <c r="I44" s="5">
        <v>535</v>
      </c>
      <c r="J44" s="5"/>
      <c r="K44" s="5"/>
      <c r="L44" s="63"/>
      <c r="M44" s="5"/>
      <c r="N44" s="5"/>
      <c r="O44" s="5"/>
      <c r="P44" s="5"/>
      <c r="Q44" s="5"/>
      <c r="R44" s="136"/>
      <c r="S44" s="138"/>
      <c r="T44" s="138"/>
      <c r="U44" s="218"/>
      <c r="V44" s="181"/>
      <c r="W44" s="181"/>
      <c r="X44" s="181"/>
      <c r="Y44" s="223"/>
      <c r="Z44" s="223"/>
      <c r="AA44" s="181"/>
      <c r="AB44" s="182"/>
      <c r="AC44" s="223">
        <v>0</v>
      </c>
      <c r="AD44" s="223">
        <v>0</v>
      </c>
    </row>
    <row r="45" spans="1:30" ht="20.100000000000001" customHeight="1" x14ac:dyDescent="0.2">
      <c r="A45" s="7" t="s">
        <v>53</v>
      </c>
      <c r="B45" s="8"/>
      <c r="C45" s="9"/>
      <c r="D45" s="5">
        <v>35</v>
      </c>
      <c r="E45" s="5">
        <v>19</v>
      </c>
      <c r="F45" s="5">
        <v>384</v>
      </c>
      <c r="G45" s="5">
        <v>303</v>
      </c>
      <c r="H45" s="5">
        <v>48</v>
      </c>
      <c r="I45" s="5">
        <v>32</v>
      </c>
      <c r="J45" s="5">
        <v>0</v>
      </c>
      <c r="K45" s="5">
        <v>25</v>
      </c>
      <c r="L45" s="63">
        <v>39</v>
      </c>
      <c r="M45" s="5">
        <v>27</v>
      </c>
      <c r="N45" s="5">
        <v>32</v>
      </c>
      <c r="O45" s="5">
        <v>30</v>
      </c>
      <c r="P45" s="5">
        <v>0</v>
      </c>
      <c r="Q45" s="5">
        <v>25</v>
      </c>
      <c r="R45" s="136">
        <v>25</v>
      </c>
      <c r="S45" s="138">
        <v>39</v>
      </c>
      <c r="T45" s="138">
        <v>40</v>
      </c>
      <c r="U45" s="218">
        <v>0</v>
      </c>
      <c r="V45" s="181">
        <v>19.7</v>
      </c>
      <c r="W45" s="181">
        <v>28</v>
      </c>
      <c r="X45" s="181">
        <v>26</v>
      </c>
      <c r="Y45" s="223">
        <v>28</v>
      </c>
      <c r="Z45" s="223">
        <v>1</v>
      </c>
      <c r="AA45" s="181">
        <v>1</v>
      </c>
      <c r="AB45" s="181">
        <v>25.3</v>
      </c>
      <c r="AC45" s="181">
        <v>28</v>
      </c>
      <c r="AD45" s="289">
        <v>28.5</v>
      </c>
    </row>
    <row r="46" spans="1:30" ht="20.100000000000001" customHeight="1" x14ac:dyDescent="0.2">
      <c r="A46" s="7" t="s">
        <v>54</v>
      </c>
      <c r="B46" s="8"/>
      <c r="C46" s="9"/>
      <c r="D46" s="5"/>
      <c r="E46" s="5"/>
      <c r="F46" s="5">
        <v>272</v>
      </c>
      <c r="G46" s="5">
        <v>768</v>
      </c>
      <c r="H46" s="5"/>
      <c r="I46" s="6"/>
      <c r="J46" s="6">
        <v>613</v>
      </c>
      <c r="K46" s="6">
        <v>523</v>
      </c>
      <c r="L46" s="63">
        <v>762</v>
      </c>
      <c r="M46" s="5">
        <v>612</v>
      </c>
      <c r="N46" s="5">
        <v>549</v>
      </c>
      <c r="O46" s="5">
        <v>467</v>
      </c>
      <c r="P46" s="5">
        <v>556</v>
      </c>
      <c r="Q46" s="5">
        <v>401</v>
      </c>
      <c r="R46" s="136">
        <v>369</v>
      </c>
      <c r="S46" s="138">
        <v>454</v>
      </c>
      <c r="T46" s="138">
        <v>473</v>
      </c>
      <c r="U46" s="218">
        <v>415</v>
      </c>
      <c r="V46" s="181">
        <v>425.22</v>
      </c>
      <c r="W46" s="181">
        <v>687.8</v>
      </c>
      <c r="X46" s="181">
        <v>573.87</v>
      </c>
      <c r="Y46" s="223">
        <v>1763</v>
      </c>
      <c r="Z46" s="223">
        <v>204</v>
      </c>
      <c r="AA46" s="181">
        <v>294</v>
      </c>
      <c r="AB46" s="181">
        <v>596.22</v>
      </c>
      <c r="AC46" s="181">
        <v>387.2</v>
      </c>
      <c r="AD46" s="289">
        <v>462.20000000000005</v>
      </c>
    </row>
    <row r="47" spans="1:30" ht="20.100000000000001" customHeight="1" x14ac:dyDescent="0.2">
      <c r="A47" s="256" t="s">
        <v>55</v>
      </c>
      <c r="B47" s="257"/>
      <c r="C47" s="258"/>
      <c r="D47" s="79">
        <v>162777</v>
      </c>
      <c r="E47" s="79">
        <v>160691</v>
      </c>
      <c r="F47" s="79">
        <v>143537</v>
      </c>
      <c r="G47" s="79">
        <v>128198</v>
      </c>
      <c r="H47" s="79">
        <v>112552</v>
      </c>
      <c r="I47" s="79">
        <v>108808</v>
      </c>
      <c r="J47" s="79">
        <f>SUM(J16+J28+J37+J38+J39+J40+J42+J43+J44+J45+J46)</f>
        <v>99344.2</v>
      </c>
      <c r="K47" s="79">
        <f t="shared" ref="K47:S47" si="9">SUM(K16+K28+K37+K38+K39+K40+K42+K43+K44+K45+K46)</f>
        <v>102050.1</v>
      </c>
      <c r="L47" s="79">
        <f t="shared" si="9"/>
        <v>98037.145098039211</v>
      </c>
      <c r="M47" s="79">
        <f t="shared" si="9"/>
        <v>88575.8</v>
      </c>
      <c r="N47" s="79">
        <f t="shared" si="9"/>
        <v>89358.400000000009</v>
      </c>
      <c r="O47" s="79">
        <f t="shared" si="9"/>
        <v>103660.79999999999</v>
      </c>
      <c r="P47" s="79">
        <f t="shared" si="9"/>
        <v>106374</v>
      </c>
      <c r="Q47" s="79">
        <f t="shared" si="9"/>
        <v>103229</v>
      </c>
      <c r="R47" s="79">
        <f t="shared" si="9"/>
        <v>97494.8</v>
      </c>
      <c r="S47" s="79">
        <f t="shared" si="9"/>
        <v>104026.7</v>
      </c>
      <c r="T47" s="270">
        <v>112485</v>
      </c>
      <c r="U47" s="217">
        <v>103296.27999999998</v>
      </c>
      <c r="V47" s="283">
        <v>97434.16</v>
      </c>
      <c r="W47" s="283">
        <v>91212.54</v>
      </c>
      <c r="X47" s="283">
        <v>96784.739999999991</v>
      </c>
      <c r="Y47" s="284">
        <f>SUM(Y16+Y28+Y37+Y38+Y39+Y40+Y42+Y43+Y44+Y45+Y46)</f>
        <v>98965.270000000019</v>
      </c>
      <c r="Z47" s="284">
        <f>SUM(Z16+Z28+Z37+Z38+Z39+Z40+Z42+Z43+Z44+Z45+Z46)</f>
        <v>93705</v>
      </c>
      <c r="AA47" s="284">
        <f>SUM(AA16+AA28+AA37+AA38+AA39+AA40+AA42+AA43+AA44+AA45+AA46)</f>
        <v>97036</v>
      </c>
      <c r="AB47" s="284">
        <f t="shared" ref="AB47" si="10">SUM(AB16+AB28+AB37+AB38+AB39+AB40+AB42+AB43+AB44+AB45+AB46)</f>
        <v>106513.90999999999</v>
      </c>
      <c r="AC47" s="79">
        <f t="shared" ref="AC47:AD47" si="11">SUM(AC16+AC28+AC37+AC38+AC39+AC40+AC42+AC43+AC44+AC45+AC46)</f>
        <v>97955.12999999999</v>
      </c>
      <c r="AD47" s="291">
        <f t="shared" si="11"/>
        <v>65548.489999999991</v>
      </c>
    </row>
    <row r="48" spans="1:30" x14ac:dyDescent="0.2">
      <c r="F48" t="s">
        <v>32</v>
      </c>
      <c r="Y48" s="23"/>
      <c r="Z48" s="23"/>
    </row>
    <row r="49" spans="10:11" x14ac:dyDescent="0.2">
      <c r="K49" s="23"/>
    </row>
    <row r="50" spans="10:11" x14ac:dyDescent="0.2">
      <c r="J50" s="23"/>
    </row>
  </sheetData>
  <mergeCells count="22">
    <mergeCell ref="O40:O41"/>
    <mergeCell ref="A2:I2"/>
    <mergeCell ref="J40:J41"/>
    <mergeCell ref="K40:K41"/>
    <mergeCell ref="L40:L41"/>
    <mergeCell ref="M40:M41"/>
    <mergeCell ref="N40:N41"/>
    <mergeCell ref="AD40:AD41"/>
    <mergeCell ref="AB40:AB41"/>
    <mergeCell ref="AC40:AC41"/>
    <mergeCell ref="P40:P41"/>
    <mergeCell ref="Q40:Q41"/>
    <mergeCell ref="R40:R41"/>
    <mergeCell ref="S40:S41"/>
    <mergeCell ref="T40:T41"/>
    <mergeCell ref="AA40:AA41"/>
    <mergeCell ref="Z40:Z41"/>
    <mergeCell ref="U40:U41"/>
    <mergeCell ref="V40:V41"/>
    <mergeCell ref="W40:W41"/>
    <mergeCell ref="X40:X41"/>
    <mergeCell ref="Y40:Y41"/>
  </mergeCells>
  <phoneticPr fontId="0" type="noConversion"/>
  <printOptions horizontalCentered="1"/>
  <pageMargins left="0.19685039370078741" right="0.19685039370078741" top="0.39370078740157483" bottom="0.19685039370078741" header="0.51181102362204722" footer="0.51181102362204722"/>
  <pageSetup paperSize="9" scale="6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Werkbladen</vt:lpstr>
      </vt:variant>
      <vt:variant>
        <vt:i4>15</vt:i4>
      </vt:variant>
      <vt:variant>
        <vt:lpstr>Grafieken</vt:lpstr>
      </vt:variant>
      <vt:variant>
        <vt:i4>27</vt:i4>
      </vt:variant>
      <vt:variant>
        <vt:lpstr>Benoemde bereiken</vt:lpstr>
      </vt:variant>
      <vt:variant>
        <vt:i4>1</vt:i4>
      </vt:variant>
    </vt:vector>
  </HeadingPairs>
  <TitlesOfParts>
    <vt:vector size="43" baseType="lpstr">
      <vt:lpstr>Feuil1</vt:lpstr>
      <vt:lpstr>Belgium</vt:lpstr>
      <vt:lpstr>Denmark</vt:lpstr>
      <vt:lpstr>Finland</vt:lpstr>
      <vt:lpstr>France</vt:lpstr>
      <vt:lpstr>Germany</vt:lpstr>
      <vt:lpstr>Italy</vt:lpstr>
      <vt:lpstr>Sweden</vt:lpstr>
      <vt:lpstr>UK</vt:lpstr>
      <vt:lpstr>Pays-Bas</vt:lpstr>
      <vt:lpstr>Rep Tcheque</vt:lpstr>
      <vt:lpstr>Pologne</vt:lpstr>
      <vt:lpstr>données</vt:lpstr>
      <vt:lpstr>eu27</vt:lpstr>
      <vt:lpstr>Poland</vt:lpstr>
      <vt:lpstr>Graph1</vt:lpstr>
      <vt:lpstr>w wheat</vt:lpstr>
      <vt:lpstr>d wheat</vt:lpstr>
      <vt:lpstr>w barley</vt:lpstr>
      <vt:lpstr>s barley</vt:lpstr>
      <vt:lpstr>tritical</vt:lpstr>
      <vt:lpstr>rye</vt:lpstr>
      <vt:lpstr>sugar beet</vt:lpstr>
      <vt:lpstr>vegetable seed</vt:lpstr>
      <vt:lpstr>cocksfoot</vt:lpstr>
      <vt:lpstr>phleum</vt:lpstr>
      <vt:lpstr>red fescue </vt:lpstr>
      <vt:lpstr>bluegrass</vt:lpstr>
      <vt:lpstr>meadow fescue</vt:lpstr>
      <vt:lpstr>tall fescue</vt:lpstr>
      <vt:lpstr>sheep fescue</vt:lpstr>
      <vt:lpstr>perenial ryegrass</vt:lpstr>
      <vt:lpstr>perenial ryegrass (2)</vt:lpstr>
      <vt:lpstr>hybrid ryegrass</vt:lpstr>
      <vt:lpstr>italian ryegrass</vt:lpstr>
      <vt:lpstr>italian ryegrass (2)</vt:lpstr>
      <vt:lpstr>red clover</vt:lpstr>
      <vt:lpstr>white clover</vt:lpstr>
      <vt:lpstr>alfalfa</vt:lpstr>
      <vt:lpstr>rape</vt:lpstr>
      <vt:lpstr>Graph leg EU 27</vt:lpstr>
      <vt:lpstr>Graph gram EU 27</vt:lpstr>
      <vt:lpstr>Germany!Afdrukbereik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Hugo</cp:lastModifiedBy>
  <cp:revision/>
  <cp:lastPrinted>2023-08-30T14:41:06Z</cp:lastPrinted>
  <dcterms:created xsi:type="dcterms:W3CDTF">1999-05-20T13:22:43Z</dcterms:created>
  <dcterms:modified xsi:type="dcterms:W3CDTF">2023-08-30T14:41:23Z</dcterms:modified>
</cp:coreProperties>
</file>